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210" windowHeight="5085" activeTab="0"/>
  </bookViews>
  <sheets>
    <sheet name="Vlastníci podľa LV" sheetId="1" r:id="rId1"/>
  </sheets>
  <definedNames/>
  <calcPr fullCalcOnLoad="1"/>
</workbook>
</file>

<file path=xl/sharedStrings.xml><?xml version="1.0" encoding="utf-8"?>
<sst xmlns="http://schemas.openxmlformats.org/spreadsheetml/2006/main" count="1366" uniqueCount="640">
  <si>
    <t>Vlastník</t>
  </si>
  <si>
    <t xml:space="preserve">Adresa </t>
  </si>
  <si>
    <t xml:space="preserve">Dátum narodenia </t>
  </si>
  <si>
    <t>Por. č. na LV</t>
  </si>
  <si>
    <t>Podiel zapísaný         na LV</t>
  </si>
  <si>
    <t>Podiel prevedený do desatinného čísla</t>
  </si>
  <si>
    <r>
      <t>Výmera pripadajúca na podiel           v m</t>
    </r>
    <r>
      <rPr>
        <b/>
        <vertAlign val="superscript"/>
        <sz val="10"/>
        <rFont val="Arial"/>
        <family val="2"/>
      </rPr>
      <t>2</t>
    </r>
  </si>
  <si>
    <t>LV 621</t>
  </si>
  <si>
    <t>LV 722</t>
  </si>
  <si>
    <t>LV 33</t>
  </si>
  <si>
    <t>LV 545</t>
  </si>
  <si>
    <t>LV 730</t>
  </si>
  <si>
    <t>Katastrálne územie: Horná Lehota</t>
  </si>
  <si>
    <t>Balková Mária rod. Kozáčiková</t>
  </si>
  <si>
    <t>ul. Mieru 561, 028 01 Trstená</t>
  </si>
  <si>
    <t>22.04.1931</t>
  </si>
  <si>
    <t>72/17400</t>
  </si>
  <si>
    <t>Horná Lehota 138</t>
  </si>
  <si>
    <t>29.01.1932</t>
  </si>
  <si>
    <t>90/17400</t>
  </si>
  <si>
    <t>Horná Lehota 96</t>
  </si>
  <si>
    <t>21.11.1959</t>
  </si>
  <si>
    <t>180/17400</t>
  </si>
  <si>
    <t>Bieľ Ján</t>
  </si>
  <si>
    <t>Pribiš 91</t>
  </si>
  <si>
    <t>30.03.1938</t>
  </si>
  <si>
    <t>Horná Lehota 140</t>
  </si>
  <si>
    <t>20.07.1910</t>
  </si>
  <si>
    <t>345/17400</t>
  </si>
  <si>
    <t>Horná Lehota 110</t>
  </si>
  <si>
    <t>12.03.1945</t>
  </si>
  <si>
    <t>420/17400</t>
  </si>
  <si>
    <t>Dolná Lehota 305</t>
  </si>
  <si>
    <t>16.02.1969</t>
  </si>
  <si>
    <t>120/17400</t>
  </si>
  <si>
    <t>Čajková Daniela rod. Palková</t>
  </si>
  <si>
    <t>MDD 2071, 026 01 Dolný Kubín</t>
  </si>
  <si>
    <t>03.09.1951</t>
  </si>
  <si>
    <t>435/17400</t>
  </si>
  <si>
    <t>Dlhá 21, 027 55 Dlhá nad Oravou</t>
  </si>
  <si>
    <t>02.07.1909</t>
  </si>
  <si>
    <t>200/17400</t>
  </si>
  <si>
    <t>Horná Lehota 186</t>
  </si>
  <si>
    <t>29.03.1951</t>
  </si>
  <si>
    <t>315/17400</t>
  </si>
  <si>
    <t>Horná Lehota 7</t>
  </si>
  <si>
    <t>27.03.1953</t>
  </si>
  <si>
    <t>105/17400</t>
  </si>
  <si>
    <t>Horná Lehota 114</t>
  </si>
  <si>
    <t>09.06.1916</t>
  </si>
  <si>
    <t xml:space="preserve">Horná Lehota 14 </t>
  </si>
  <si>
    <t>03.10.1945</t>
  </si>
  <si>
    <t>270/17400</t>
  </si>
  <si>
    <t>ul. Bernoláková 6032/15, Banská Bystrica</t>
  </si>
  <si>
    <t>28.03.1953</t>
  </si>
  <si>
    <t>Horná Lehota 91</t>
  </si>
  <si>
    <t>02.03.1926</t>
  </si>
  <si>
    <t>19.07.1955</t>
  </si>
  <si>
    <t>45/17400</t>
  </si>
  <si>
    <t>Oravský Podzámok 84</t>
  </si>
  <si>
    <t>03.05.1956</t>
  </si>
  <si>
    <t>SNP 1201/18, 026 01 Dolný Kubín</t>
  </si>
  <si>
    <t>03.01.1928</t>
  </si>
  <si>
    <t>195/17400</t>
  </si>
  <si>
    <t>Horná Lehota 171</t>
  </si>
  <si>
    <t>04.07.1914</t>
  </si>
  <si>
    <t>60/17400</t>
  </si>
  <si>
    <t>Severná 1414,  Levice</t>
  </si>
  <si>
    <t>02.12.1964</t>
  </si>
  <si>
    <t>Horná Lehota 120</t>
  </si>
  <si>
    <t>18.05.1930</t>
  </si>
  <si>
    <t>390/17400</t>
  </si>
  <si>
    <t>Harezníková Emília rod. Jančeková</t>
  </si>
  <si>
    <t>Horná Lehota 135</t>
  </si>
  <si>
    <t>16.07.1931</t>
  </si>
  <si>
    <t>Horná Lehota 187</t>
  </si>
  <si>
    <t>09.12.1948</t>
  </si>
  <si>
    <t>Oravský Podzámok 270</t>
  </si>
  <si>
    <t>10.01.1951</t>
  </si>
  <si>
    <t>100/17400</t>
  </si>
  <si>
    <t>01.05.1945</t>
  </si>
  <si>
    <t>210/17400</t>
  </si>
  <si>
    <t>Horná Lehota 62</t>
  </si>
  <si>
    <t>24.06.1931</t>
  </si>
  <si>
    <t>630/17400</t>
  </si>
  <si>
    <t>Chomisteková Anna rod. Chomisteková</t>
  </si>
  <si>
    <t>Horná Lehota 92</t>
  </si>
  <si>
    <t>16.02.1940</t>
  </si>
  <si>
    <t>Janček Ján</t>
  </si>
  <si>
    <t>Horná Lehota 94</t>
  </si>
  <si>
    <t>10.10.1942</t>
  </si>
  <si>
    <t>70/17400</t>
  </si>
  <si>
    <t>Medzihradská 22, 026 01  Dolný Kubín</t>
  </si>
  <si>
    <t>08.03.1973</t>
  </si>
  <si>
    <t>135/17400</t>
  </si>
  <si>
    <t>26.08.1940</t>
  </si>
  <si>
    <t>Horná Lehota 34</t>
  </si>
  <si>
    <t>19.08.1922</t>
  </si>
  <si>
    <t>Horná Lehota 45</t>
  </si>
  <si>
    <t>30.09.1939</t>
  </si>
  <si>
    <t>Horná Lehota 76</t>
  </si>
  <si>
    <t>30.07.1927</t>
  </si>
  <si>
    <t>30/17400</t>
  </si>
  <si>
    <t>Nová Doba 498, 027 43 Nižná</t>
  </si>
  <si>
    <t>12.05.1935</t>
  </si>
  <si>
    <t>Kozáčik Milan</t>
  </si>
  <si>
    <t>Alekšince 280</t>
  </si>
  <si>
    <t>23.10.1953</t>
  </si>
  <si>
    <t>36/17400</t>
  </si>
  <si>
    <t>12.02.1946</t>
  </si>
  <si>
    <t>Kukučínova 13, 027 43  Nižná</t>
  </si>
  <si>
    <t>27.10.1947</t>
  </si>
  <si>
    <t>Horná Lehota 16</t>
  </si>
  <si>
    <t>01.12.1938</t>
  </si>
  <si>
    <t>240/17400</t>
  </si>
  <si>
    <t>Krížová Irena rod. Kľúčiková</t>
  </si>
  <si>
    <t>04.05.1922</t>
  </si>
  <si>
    <t>Krížová Mária rod. Reguliová</t>
  </si>
  <si>
    <t>Horná Lehota 125</t>
  </si>
  <si>
    <t>Horná Lehota 122</t>
  </si>
  <si>
    <t>09.03.1934</t>
  </si>
  <si>
    <t>Olivová 52, Bratislava</t>
  </si>
  <si>
    <t>14.05.1936</t>
  </si>
  <si>
    <t>Jesenského 636, 027 43  Nižná</t>
  </si>
  <si>
    <t>Horná Lehota 28</t>
  </si>
  <si>
    <t>162/17400</t>
  </si>
  <si>
    <t>Kubalová Mária rod. Gešíková</t>
  </si>
  <si>
    <t>Horná Lehota 173</t>
  </si>
  <si>
    <t>29.08.1945</t>
  </si>
  <si>
    <t>24.04.1922</t>
  </si>
  <si>
    <t>480/17400</t>
  </si>
  <si>
    <t>Kánová Mária rod. Kozáčiková</t>
  </si>
  <si>
    <t>Za vŕškom 707, 027 43  Nižná</t>
  </si>
  <si>
    <t>23.01.1950</t>
  </si>
  <si>
    <t>Kňazúrová Mária rod. Palková</t>
  </si>
  <si>
    <t>Horná Lehota 38</t>
  </si>
  <si>
    <t>12.04.1931</t>
  </si>
  <si>
    <t>Bojničky 307</t>
  </si>
  <si>
    <t>06.08.1932</t>
  </si>
  <si>
    <t>510/17400</t>
  </si>
  <si>
    <t>Horná Lehota 67</t>
  </si>
  <si>
    <t>12.11.1952</t>
  </si>
  <si>
    <t>Horná Lehota 60</t>
  </si>
  <si>
    <t>09.05.1922</t>
  </si>
  <si>
    <t>Mikulajová Anna rod. Harezníková</t>
  </si>
  <si>
    <t>Horná Lehota 102</t>
  </si>
  <si>
    <t>22.12.1941</t>
  </si>
  <si>
    <t>Horná Lehota 118</t>
  </si>
  <si>
    <t>30.01.1950</t>
  </si>
  <si>
    <t>Horná Lehota 97</t>
  </si>
  <si>
    <t>09.08.1912</t>
  </si>
  <si>
    <t>31.01.1921</t>
  </si>
  <si>
    <t>Horná Lehota 106</t>
  </si>
  <si>
    <t>21.08.1938</t>
  </si>
  <si>
    <t>Horná Lehota 117</t>
  </si>
  <si>
    <t>Horná Lehota 130</t>
  </si>
  <si>
    <t>07.03.1966</t>
  </si>
  <si>
    <t>Horná Lehota 26</t>
  </si>
  <si>
    <t>02.03.1945</t>
  </si>
  <si>
    <t>Polák Jozef</t>
  </si>
  <si>
    <t>10.02.1923</t>
  </si>
  <si>
    <t>Horná Lehota 21</t>
  </si>
  <si>
    <t>29.10.1909</t>
  </si>
  <si>
    <t>65/17400</t>
  </si>
  <si>
    <t>02.05.1945</t>
  </si>
  <si>
    <t>Horná Lehota 127</t>
  </si>
  <si>
    <t>22.05.1942</t>
  </si>
  <si>
    <t>Horná Lehota 10</t>
  </si>
  <si>
    <t>23.11.1927</t>
  </si>
  <si>
    <t>330/17400</t>
  </si>
  <si>
    <t>03.10.1928</t>
  </si>
  <si>
    <t>Horná Lehota 123</t>
  </si>
  <si>
    <t>20.12.1929</t>
  </si>
  <si>
    <t>Severná 681/38, 026 01  Dolný Kubín</t>
  </si>
  <si>
    <t>17.01.1935</t>
  </si>
  <si>
    <t>Horná Lehota 22</t>
  </si>
  <si>
    <t>05.10.1937</t>
  </si>
  <si>
    <t>Strežová Alžbeta rod. Kozáčiková</t>
  </si>
  <si>
    <t>Horná Lehota 20</t>
  </si>
  <si>
    <t>11.11.1932</t>
  </si>
  <si>
    <t>Strežová Mária rod. Blašková</t>
  </si>
  <si>
    <t>Horná Lehota 1</t>
  </si>
  <si>
    <t>16.04.1922</t>
  </si>
  <si>
    <t>450/17400</t>
  </si>
  <si>
    <t xml:space="preserve">Šutvajová Štefánia rod. Kozáčiková </t>
  </si>
  <si>
    <t>25.12.1939</t>
  </si>
  <si>
    <t>192/17400</t>
  </si>
  <si>
    <t>Horná Lehota 165</t>
  </si>
  <si>
    <t>22.07.1921</t>
  </si>
  <si>
    <t>12.01.1929</t>
  </si>
  <si>
    <t>Záhorská Mária rod. Kozáčiková</t>
  </si>
  <si>
    <t>Horná Lehota 93</t>
  </si>
  <si>
    <t>04.12.1950</t>
  </si>
  <si>
    <t>Ľ. Štúra 2045/9, 026 01 Dolný Kubín</t>
  </si>
  <si>
    <t>25.07.1955</t>
  </si>
  <si>
    <t>23.01.1922</t>
  </si>
  <si>
    <t>Horná Lehota 49</t>
  </si>
  <si>
    <t>130/17400</t>
  </si>
  <si>
    <t>Horná Lehota 52</t>
  </si>
  <si>
    <t>30.05.1962</t>
  </si>
  <si>
    <t>Horná Lehota 184</t>
  </si>
  <si>
    <t>09.05.1953</t>
  </si>
  <si>
    <t>120/17520</t>
  </si>
  <si>
    <t>Knazurová Mária rod. Palková</t>
  </si>
  <si>
    <t>Polak Miloslav</t>
  </si>
  <si>
    <t>13.09.1962</t>
  </si>
  <si>
    <t>Tomagová Agneša rod. Matisková</t>
  </si>
  <si>
    <t>22.10.1949</t>
  </si>
  <si>
    <t>27/13920</t>
  </si>
  <si>
    <t>Matis Marián</t>
  </si>
  <si>
    <t>03.12.1951</t>
  </si>
  <si>
    <t>Ondriga Ľuboš</t>
  </si>
  <si>
    <t>A. Halašu 669/19, 026 01  Dolný Kubín</t>
  </si>
  <si>
    <t>01.07.1975</t>
  </si>
  <si>
    <t>18/13920</t>
  </si>
  <si>
    <t>Janček Július</t>
  </si>
  <si>
    <t>Horná Lehota 44</t>
  </si>
  <si>
    <t>13.07.1960</t>
  </si>
  <si>
    <t>Zemenčík Jozef</t>
  </si>
  <si>
    <t>Horná Lehota 70</t>
  </si>
  <si>
    <t>05.03.1947</t>
  </si>
  <si>
    <t>Horná Lehota 100</t>
  </si>
  <si>
    <t>15.05.1968</t>
  </si>
  <si>
    <t>380/17400</t>
  </si>
  <si>
    <t xml:space="preserve">Šátková Agneša rod. Pálková MUDr. </t>
  </si>
  <si>
    <t>Oravský Podzámok 159</t>
  </si>
  <si>
    <t>28.06.1956</t>
  </si>
  <si>
    <t>Kriváň Jozef Ing.</t>
  </si>
  <si>
    <t>14.02.1934</t>
  </si>
  <si>
    <t>Martvoňová Žofia rod. Bencúrová</t>
  </si>
  <si>
    <t>Horná Lehota 89</t>
  </si>
  <si>
    <t>24.04.1946</t>
  </si>
  <si>
    <t>210/69600</t>
  </si>
  <si>
    <t>Kampošová Júlia rod. Bencúrová</t>
  </si>
  <si>
    <t>Bysterecká 2066/9, 026 01  Dolný Kubín</t>
  </si>
  <si>
    <t>02.12.1957</t>
  </si>
  <si>
    <t>Mikulová Mária rod. Bencúrová</t>
  </si>
  <si>
    <t>Horná Lehota 88</t>
  </si>
  <si>
    <t>05.08.1939</t>
  </si>
  <si>
    <t>Blanová Mária rod. Fúriková</t>
  </si>
  <si>
    <t>Likavka 356</t>
  </si>
  <si>
    <t>04.01.1932</t>
  </si>
  <si>
    <t>435/69600</t>
  </si>
  <si>
    <t>Poláková Anna rod. Fúriková</t>
  </si>
  <si>
    <t>Horná Lehota 113</t>
  </si>
  <si>
    <t>07.07.1936</t>
  </si>
  <si>
    <t>Turošáková Alžbeta rod. Fúriková</t>
  </si>
  <si>
    <t>Horná Lehota 43</t>
  </si>
  <si>
    <t>28.01.1943</t>
  </si>
  <si>
    <t>Pribiš 104</t>
  </si>
  <si>
    <t>23.05.1978</t>
  </si>
  <si>
    <t>Lajš Roman MUDr.</t>
  </si>
  <si>
    <t>Helsinská 1, Košice</t>
  </si>
  <si>
    <t>09.08.1950</t>
  </si>
  <si>
    <t>Horná Lehota 196</t>
  </si>
  <si>
    <t>06.11.1949</t>
  </si>
  <si>
    <t>029 52  Hruštín 79</t>
  </si>
  <si>
    <t>21.08.1964</t>
  </si>
  <si>
    <t>795/69600</t>
  </si>
  <si>
    <t>Lukaščíková Monika rod. Kaňurová</t>
  </si>
  <si>
    <t>18.01.1938</t>
  </si>
  <si>
    <t>Kaňúr Jozef</t>
  </si>
  <si>
    <t>Kukučínová 25, Spišská Nová Ves</t>
  </si>
  <si>
    <t>28.07.1945</t>
  </si>
  <si>
    <t>Krivdová Viera rod. Forgáčová</t>
  </si>
  <si>
    <t>Horná Lehota 188</t>
  </si>
  <si>
    <t>01.11.1960</t>
  </si>
  <si>
    <t>Poláková Natália rod. Cádriková</t>
  </si>
  <si>
    <t>Horná Lehota 68</t>
  </si>
  <si>
    <t>28.05.1978</t>
  </si>
  <si>
    <t>Horná Lehota 37</t>
  </si>
  <si>
    <t>09.12.1929</t>
  </si>
  <si>
    <t>Horná Lehota 59</t>
  </si>
  <si>
    <t>IC0: 31583806</t>
  </si>
  <si>
    <t>1230314260812/36079597091261</t>
  </si>
  <si>
    <t>Kompanová Oľga rod. Štelinová</t>
  </si>
  <si>
    <t>Horná Lehota 104</t>
  </si>
  <si>
    <t>17.10.1955</t>
  </si>
  <si>
    <t>Podielnícke družstvo</t>
  </si>
  <si>
    <t>Horná Lehota 80</t>
  </si>
  <si>
    <t>06.06.1977</t>
  </si>
  <si>
    <t>Horná Lehota 213</t>
  </si>
  <si>
    <t>03.06.1960</t>
  </si>
  <si>
    <t>Bjelová Agneša rod. Bjelová MUDr.</t>
  </si>
  <si>
    <t>13.03.1956</t>
  </si>
  <si>
    <t>Horná Lehota 17</t>
  </si>
  <si>
    <t>25.01.1977</t>
  </si>
  <si>
    <t>Poľnohospodárske podielnícke družstvo</t>
  </si>
  <si>
    <t>Horná Lehota</t>
  </si>
  <si>
    <t>Ul. SNP 1197/30, 026 01  Dolný Kubín</t>
  </si>
  <si>
    <t>270/139200</t>
  </si>
  <si>
    <t>180/139200</t>
  </si>
  <si>
    <t>Baleková Jozefína rod. Strežová</t>
  </si>
  <si>
    <t>Bencúrová Mária rod. Koľadová</t>
  </si>
  <si>
    <t>08.11.1919</t>
  </si>
  <si>
    <t>Cadriková Štefánika rod. Hrúziková</t>
  </si>
  <si>
    <t>Oravský Podzámok 321</t>
  </si>
  <si>
    <t>04.04.1943</t>
  </si>
  <si>
    <t>Černotová Karolína rod. Černotová</t>
  </si>
  <si>
    <t>198/17400</t>
  </si>
  <si>
    <t>Ďaďová Žofia rod. Fúriková</t>
  </si>
  <si>
    <t>Horná Lehota 42</t>
  </si>
  <si>
    <t>14.04.1929</t>
  </si>
  <si>
    <t>Fúriková Alžbeta rod. Chomisteková</t>
  </si>
  <si>
    <t>Horná Lehota 157</t>
  </si>
  <si>
    <t>26.08.1933</t>
  </si>
  <si>
    <t>Chmelárova Žofia rod. Poláková</t>
  </si>
  <si>
    <t>96/17400</t>
  </si>
  <si>
    <t>06.08.1909</t>
  </si>
  <si>
    <t>Domov dôchodcov Dolný Kubín 026 01</t>
  </si>
  <si>
    <t>66/17400</t>
  </si>
  <si>
    <t>25.04.1921</t>
  </si>
  <si>
    <t>Jančeková Mária rod. Fučáková</t>
  </si>
  <si>
    <t>138/17400</t>
  </si>
  <si>
    <t>132/17400</t>
  </si>
  <si>
    <t>23.09.1926</t>
  </si>
  <si>
    <t>Janíčkova Anna rod. Jančeková</t>
  </si>
  <si>
    <t>Jurigová Margita rod. Kňazúrová</t>
  </si>
  <si>
    <t>Kaňúrová Mária rod. Romanová</t>
  </si>
  <si>
    <t>Horná Lehota 13</t>
  </si>
  <si>
    <t>03.01.1913</t>
  </si>
  <si>
    <t>Horná Lehota 30</t>
  </si>
  <si>
    <t>01.03.1921</t>
  </si>
  <si>
    <t>12.07.1926</t>
  </si>
  <si>
    <t>L. Slobodu 20, Bratislava</t>
  </si>
  <si>
    <t>06.09.1928</t>
  </si>
  <si>
    <t>Kriváňová Terézia rod. Harezníková</t>
  </si>
  <si>
    <t>Horná Lehota 136</t>
  </si>
  <si>
    <t>27.11.1904</t>
  </si>
  <si>
    <t>Horná Lehota 78</t>
  </si>
  <si>
    <t>09.03.1933</t>
  </si>
  <si>
    <t>Kršáková Paulína rod. Černotová</t>
  </si>
  <si>
    <t>Krúpová Žofia rod. Kozáčiková</t>
  </si>
  <si>
    <t>Masiarová Žofia rod. Krížová</t>
  </si>
  <si>
    <t>29.11.1956</t>
  </si>
  <si>
    <t>Mikulášová Žofia rod. Poláková</t>
  </si>
  <si>
    <t>115/17400</t>
  </si>
  <si>
    <t>Ončáková Daniela rod. Labajová</t>
  </si>
  <si>
    <t>Oravský Podzámok 497</t>
  </si>
  <si>
    <t>07.08.1932</t>
  </si>
  <si>
    <t>Horná Lehota 109</t>
  </si>
  <si>
    <t>102/17400</t>
  </si>
  <si>
    <t>SNP 1201/16, 026 01  Dolný Kubín</t>
  </si>
  <si>
    <t>04.04.1932</t>
  </si>
  <si>
    <t>285/17400</t>
  </si>
  <si>
    <t>10.09.1926</t>
  </si>
  <si>
    <t>Poláková Štefánia rod. Harezníková</t>
  </si>
  <si>
    <t>Štelinová Paulína rod. Jančeková</t>
  </si>
  <si>
    <t>Horná Lehota 57</t>
  </si>
  <si>
    <t>29.06.1926</t>
  </si>
  <si>
    <t>Trnovcová Františka rod. Poláková</t>
  </si>
  <si>
    <t>10.10.1921</t>
  </si>
  <si>
    <t>Ťuchová Štefánia rod. Klimčíková</t>
  </si>
  <si>
    <t>19.02.1925</t>
  </si>
  <si>
    <t>13.10.1919</t>
  </si>
  <si>
    <t>Pozemkové spoločenstvo urbáru a pasienkov</t>
  </si>
  <si>
    <t>4/584</t>
  </si>
  <si>
    <t>8/584</t>
  </si>
  <si>
    <t>Polák Ján</t>
  </si>
  <si>
    <t>20.09.1917</t>
  </si>
  <si>
    <t>Konfala Ondrej</t>
  </si>
  <si>
    <t>18.04.1916</t>
  </si>
  <si>
    <t>2/584</t>
  </si>
  <si>
    <t>20/2920</t>
  </si>
  <si>
    <t>Horná Lehota 128</t>
  </si>
  <si>
    <t>Lorinc Peter</t>
  </si>
  <si>
    <t>17.09.1964</t>
  </si>
  <si>
    <t>2/3504</t>
  </si>
  <si>
    <t>8/1752</t>
  </si>
  <si>
    <t>Gebura Jozef</t>
  </si>
  <si>
    <t>30.08.1947</t>
  </si>
  <si>
    <t>1/1533</t>
  </si>
  <si>
    <t>Brdečková Anna rod. Geburová</t>
  </si>
  <si>
    <t>31.08.1949</t>
  </si>
  <si>
    <t>Laceková Mária rod. Geburová</t>
  </si>
  <si>
    <t>12.11.1950</t>
  </si>
  <si>
    <t>Geburová Justína</t>
  </si>
  <si>
    <t>15.10.1957</t>
  </si>
  <si>
    <t>Kasanová Katarína rod. Geburová</t>
  </si>
  <si>
    <t>16.11.1959</t>
  </si>
  <si>
    <t>Adamčáková Helena rod. Geburová</t>
  </si>
  <si>
    <t>01.04.1966</t>
  </si>
  <si>
    <t>12/2920</t>
  </si>
  <si>
    <t>12/5840</t>
  </si>
  <si>
    <t>Kaššovicová Viera rod. Halajová</t>
  </si>
  <si>
    <t>11.06.1958</t>
  </si>
  <si>
    <t>16/2336</t>
  </si>
  <si>
    <t>70/11680</t>
  </si>
  <si>
    <t xml:space="preserve">Blaško Jozef </t>
  </si>
  <si>
    <t>Alej Slobody 1885/36, 026 01 Dolný Kubín</t>
  </si>
  <si>
    <t>SNP 1201/20, 026 01Dolný Kubín</t>
  </si>
  <si>
    <t>11.09.1948</t>
  </si>
  <si>
    <t>Blaško Ladislav</t>
  </si>
  <si>
    <t>Horná Lehota 98</t>
  </si>
  <si>
    <t>Horná Lehota 155</t>
  </si>
  <si>
    <t>17.10.1934</t>
  </si>
  <si>
    <t>Janáková Margita</t>
  </si>
  <si>
    <t>Horná Lehota 115</t>
  </si>
  <si>
    <t>29.05.1940</t>
  </si>
  <si>
    <t>09.03.1953</t>
  </si>
  <si>
    <t>1/584</t>
  </si>
  <si>
    <t>Ďaďová Mária rod. Poláková</t>
  </si>
  <si>
    <t>Horná Lehota 95</t>
  </si>
  <si>
    <t>05.02.1948</t>
  </si>
  <si>
    <t>Labaj Vladimír</t>
  </si>
  <si>
    <t>Medvedzie 150, 027 44 Tvrdošín</t>
  </si>
  <si>
    <t>22.01.1958</t>
  </si>
  <si>
    <t>2/1752</t>
  </si>
  <si>
    <t>Labaj Jozef</t>
  </si>
  <si>
    <t>Oravský Podzámok 367</t>
  </si>
  <si>
    <t>19.09.1953</t>
  </si>
  <si>
    <t>11.10.1967</t>
  </si>
  <si>
    <t>Labaj Juraj</t>
  </si>
  <si>
    <t>Lietavská Lúčka 11/21</t>
  </si>
  <si>
    <t>23.04.1960</t>
  </si>
  <si>
    <t>Palková Gabriela</t>
  </si>
  <si>
    <t>Chočská 1530, 026 01  Dolný Kubín</t>
  </si>
  <si>
    <t>10.04.1958</t>
  </si>
  <si>
    <t>Palková Jarmila</t>
  </si>
  <si>
    <t>Bysterecká 2066, 026 01  Dolný Kubín</t>
  </si>
  <si>
    <t>07.01.1953</t>
  </si>
  <si>
    <t>Jurčíková Zuzana rod. Blašková</t>
  </si>
  <si>
    <t>Oravský Podzámok 88</t>
  </si>
  <si>
    <t>16.03.1964</t>
  </si>
  <si>
    <t>2/10512</t>
  </si>
  <si>
    <t>Hvolková Magdaléna rod. Blašková</t>
  </si>
  <si>
    <t>02.01.1971</t>
  </si>
  <si>
    <t>Horná Lehota 190</t>
  </si>
  <si>
    <t>06.09.1947</t>
  </si>
  <si>
    <t>Kriváňová Albína rod. Poláková</t>
  </si>
  <si>
    <t>Boženy Nemcovej 31/18, Košice</t>
  </si>
  <si>
    <t>01.03.1937</t>
  </si>
  <si>
    <t>4/1752</t>
  </si>
  <si>
    <t>Horná Lehota 191</t>
  </si>
  <si>
    <t>12/584</t>
  </si>
  <si>
    <t>264/17520</t>
  </si>
  <si>
    <t>205/17520</t>
  </si>
  <si>
    <t>195/17520</t>
  </si>
  <si>
    <t>Ďaďová Mária rod. Harezníková</t>
  </si>
  <si>
    <t>Horná Lehota 126</t>
  </si>
  <si>
    <t>240/17520</t>
  </si>
  <si>
    <t>Forgáčová Mária rod. Ferancová</t>
  </si>
  <si>
    <t>27.01.1926</t>
  </si>
  <si>
    <t>Fúrik Štefan Ing.</t>
  </si>
  <si>
    <t>01.01.1951</t>
  </si>
  <si>
    <t>360/17520</t>
  </si>
  <si>
    <t>40/17520</t>
  </si>
  <si>
    <t>Krížo Emil</t>
  </si>
  <si>
    <t>Špitálska 41, Bratislava</t>
  </si>
  <si>
    <t>07.03.1911</t>
  </si>
  <si>
    <t>8/2920</t>
  </si>
  <si>
    <t>420/17520</t>
  </si>
  <si>
    <t>180/17520</t>
  </si>
  <si>
    <t>Polák František</t>
  </si>
  <si>
    <t>15.05.1920</t>
  </si>
  <si>
    <t>60/17520</t>
  </si>
  <si>
    <t>Strežo Štefan</t>
  </si>
  <si>
    <t>370/17520</t>
  </si>
  <si>
    <t>Blašková Mária</t>
  </si>
  <si>
    <t>Konfala Ján</t>
  </si>
  <si>
    <t>11.05.1956</t>
  </si>
  <si>
    <t xml:space="preserve">Polák Ladislav Ing. </t>
  </si>
  <si>
    <t>Kňazúr Jaromír</t>
  </si>
  <si>
    <t>Horná Lehota 170</t>
  </si>
  <si>
    <t>09.10.1951</t>
  </si>
  <si>
    <t>Pillarova Žofia rod. Kňazúrová</t>
  </si>
  <si>
    <t>30.10.1953</t>
  </si>
  <si>
    <t>Kňazúr Daniel</t>
  </si>
  <si>
    <t>03.04.1958</t>
  </si>
  <si>
    <t xml:space="preserve">Kňazúr Ladislav     </t>
  </si>
  <si>
    <t>24.10.1960</t>
  </si>
  <si>
    <t>Mintalová Viera rod. Poláková</t>
  </si>
  <si>
    <t>03.06.1971</t>
  </si>
  <si>
    <t xml:space="preserve">Kozáčik Jozef </t>
  </si>
  <si>
    <t>Kukučínová 13, 027 43 Nižná</t>
  </si>
  <si>
    <t>22.02.1942</t>
  </si>
  <si>
    <t xml:space="preserve">Kozáčik Pavol </t>
  </si>
  <si>
    <t>Matula Peter</t>
  </si>
  <si>
    <t>27.11.1961</t>
  </si>
  <si>
    <t>Kondelova Elena rod. Kršáková</t>
  </si>
  <si>
    <t>03.07.1953</t>
  </si>
  <si>
    <t>28/2920</t>
  </si>
  <si>
    <t>Blašková Mária rod. Vasilovčíková</t>
  </si>
  <si>
    <t>Horná Lehota 9</t>
  </si>
  <si>
    <t>20.02.1911</t>
  </si>
  <si>
    <t>13/1168</t>
  </si>
  <si>
    <t>Hricová Mária rod. Zemenčíková</t>
  </si>
  <si>
    <t>Horná Lehota 108</t>
  </si>
  <si>
    <t>04.02.1945</t>
  </si>
  <si>
    <t>3/146</t>
  </si>
  <si>
    <t>Molnarova Daniela rod. Krížová</t>
  </si>
  <si>
    <t>Ul. Dobrovského 2199/5, Bratislava</t>
  </si>
  <si>
    <t>29.09.1946</t>
  </si>
  <si>
    <t>Gajdošová Mária rod. Krížová</t>
  </si>
  <si>
    <t>Valaská Dubová 264</t>
  </si>
  <si>
    <t>25.03.1941</t>
  </si>
  <si>
    <t>65/17520</t>
  </si>
  <si>
    <t>150/11680</t>
  </si>
  <si>
    <t>Horná Lehota 99</t>
  </si>
  <si>
    <t>05.08.1983</t>
  </si>
  <si>
    <t>Horná Lehota 180</t>
  </si>
  <si>
    <t>30.10.1952</t>
  </si>
  <si>
    <t>10/584</t>
  </si>
  <si>
    <t>Kováčová Zuzana rod. Macáková</t>
  </si>
  <si>
    <t>Kadnárová 2516/43, Bratislava</t>
  </si>
  <si>
    <t>07.10.1929</t>
  </si>
  <si>
    <t>1428173527177/19808231999681</t>
  </si>
  <si>
    <t>14.02.1989</t>
  </si>
  <si>
    <t>Oravský Podzámok 52</t>
  </si>
  <si>
    <t>Poláková Žofia rod. Franeková</t>
  </si>
  <si>
    <t>28.12.1909</t>
  </si>
  <si>
    <t>Ďaďo Štefan</t>
  </si>
  <si>
    <t xml:space="preserve">Horná Lehota </t>
  </si>
  <si>
    <t>15.04.1923</t>
  </si>
  <si>
    <t>4/2920</t>
  </si>
  <si>
    <t>Biel Milan</t>
  </si>
  <si>
    <t>Horná Lehota 185</t>
  </si>
  <si>
    <t>Šalátová Anna rod. Bielová</t>
  </si>
  <si>
    <t>26.02.1948</t>
  </si>
  <si>
    <t>8/1852</t>
  </si>
  <si>
    <t>8/2336</t>
  </si>
  <si>
    <t>4/2336</t>
  </si>
  <si>
    <t>Jančeková Beáta</t>
  </si>
  <si>
    <t>04.02.1976</t>
  </si>
  <si>
    <t>4/854</t>
  </si>
  <si>
    <t>10.04.1915</t>
  </si>
  <si>
    <t>Horná Lehota 14</t>
  </si>
  <si>
    <t>Fúrik Jozef</t>
  </si>
  <si>
    <t>Bernolákova 6032/15 Banská Bystrica</t>
  </si>
  <si>
    <t>600/17520</t>
  </si>
  <si>
    <t>300/17520</t>
  </si>
  <si>
    <t>220/17520</t>
  </si>
  <si>
    <t>480/17520</t>
  </si>
  <si>
    <t>16/2920</t>
  </si>
  <si>
    <t>Horná Lehota č. 10</t>
  </si>
  <si>
    <t>029 56  Zakamenné 207</t>
  </si>
  <si>
    <t xml:space="preserve">Bencúr Ján </t>
  </si>
  <si>
    <t>07.01.1952</t>
  </si>
  <si>
    <t>Reguliová Mária rod. Reguliová</t>
  </si>
  <si>
    <t>Spoločenstvo spolu</t>
  </si>
  <si>
    <t>Bencúr Ján</t>
  </si>
  <si>
    <t xml:space="preserve">Bieľ František </t>
  </si>
  <si>
    <t xml:space="preserve">Biel Ján </t>
  </si>
  <si>
    <t>Bieľ Jozef</t>
  </si>
  <si>
    <t xml:space="preserve">Bieľ Jozef </t>
  </si>
  <si>
    <t xml:space="preserve">Bieľ Ondrej </t>
  </si>
  <si>
    <t xml:space="preserve">Blaško Anton </t>
  </si>
  <si>
    <t>Blaško Ján Ing.</t>
  </si>
  <si>
    <t xml:space="preserve">Blaško Ján Ing. </t>
  </si>
  <si>
    <t xml:space="preserve">Blaško Michal </t>
  </si>
  <si>
    <t xml:space="preserve">Ďaďo Daniel </t>
  </si>
  <si>
    <t>Ďaďo Ján</t>
  </si>
  <si>
    <t>Ďaďo Marián</t>
  </si>
  <si>
    <t xml:space="preserve">Fačko Michal </t>
  </si>
  <si>
    <t xml:space="preserve">Forgáč Jozef </t>
  </si>
  <si>
    <t>Franek Ján Ing.</t>
  </si>
  <si>
    <t xml:space="preserve">Furik Jozef </t>
  </si>
  <si>
    <t xml:space="preserve">Fúrik Štefan </t>
  </si>
  <si>
    <t xml:space="preserve">Gebura Mikuláš </t>
  </si>
  <si>
    <t xml:space="preserve">Gebura Stanislav </t>
  </si>
  <si>
    <t xml:space="preserve">Halaj Jozef MUDr. </t>
  </si>
  <si>
    <t xml:space="preserve">Halaj Michal </t>
  </si>
  <si>
    <t xml:space="preserve">Halaj Milan Ing. </t>
  </si>
  <si>
    <t xml:space="preserve">Harezník Bernard </t>
  </si>
  <si>
    <t xml:space="preserve">Haťapka Stanislav </t>
  </si>
  <si>
    <t xml:space="preserve">Chomistek Ján </t>
  </si>
  <si>
    <t xml:space="preserve">Chomistek Jozef </t>
  </si>
  <si>
    <t xml:space="preserve">Janček Ján </t>
  </si>
  <si>
    <t xml:space="preserve">Janček Jozef </t>
  </si>
  <si>
    <t xml:space="preserve">Janček Martin </t>
  </si>
  <si>
    <t xml:space="preserve">Janček Milan </t>
  </si>
  <si>
    <t xml:space="preserve">Janček Pavol </t>
  </si>
  <si>
    <t xml:space="preserve">Klimek Peter </t>
  </si>
  <si>
    <t xml:space="preserve">Kľúčik Ján </t>
  </si>
  <si>
    <t xml:space="preserve">Kľúčik Stanislav </t>
  </si>
  <si>
    <t xml:space="preserve">Kňazúr Anton </t>
  </si>
  <si>
    <t xml:space="preserve">Kňazúr Ladislav </t>
  </si>
  <si>
    <t xml:space="preserve">Kňazúr Michal </t>
  </si>
  <si>
    <t xml:space="preserve">Kováčik Ján </t>
  </si>
  <si>
    <t xml:space="preserve">Kozáčik Ondrej Ing. </t>
  </si>
  <si>
    <t>Kozáčik Štefan</t>
  </si>
  <si>
    <t xml:space="preserve">Kozáčik Štefan </t>
  </si>
  <si>
    <t xml:space="preserve">Križo Jozef </t>
  </si>
  <si>
    <t xml:space="preserve">Krížo Jozef </t>
  </si>
  <si>
    <t xml:space="preserve">Láclav Jozef </t>
  </si>
  <si>
    <t xml:space="preserve">Matula Vincent </t>
  </si>
  <si>
    <t xml:space="preserve">Mikuláš Jozef </t>
  </si>
  <si>
    <t xml:space="preserve">Mikuláš Štefan </t>
  </si>
  <si>
    <t xml:space="preserve">Ordančík Ján </t>
  </si>
  <si>
    <t xml:space="preserve">Palko Ján </t>
  </si>
  <si>
    <t xml:space="preserve">Palko Pavol </t>
  </si>
  <si>
    <t xml:space="preserve">Polák Anton </t>
  </si>
  <si>
    <t xml:space="preserve">Polák Jozef </t>
  </si>
  <si>
    <t xml:space="preserve">Polák Miloslav </t>
  </si>
  <si>
    <t xml:space="preserve">Polák Pavol Ing. </t>
  </si>
  <si>
    <t xml:space="preserve">Polák Peter </t>
  </si>
  <si>
    <t xml:space="preserve">Sagan Ján </t>
  </si>
  <si>
    <t>Strežo Anton Ing.</t>
  </si>
  <si>
    <t xml:space="preserve">Strežo František </t>
  </si>
  <si>
    <t xml:space="preserve">Trnovec Jozef </t>
  </si>
  <si>
    <t xml:space="preserve">Žatkuliak Florian </t>
  </si>
  <si>
    <t>M.R.Štefánika Kubínska 1835/32/4,            026 01  Dolný Kubín</t>
  </si>
  <si>
    <t>Na Sihoti 1156/7-38, 026 01  Dolný Kubín</t>
  </si>
  <si>
    <t>Por. číslo</t>
  </si>
  <si>
    <r>
      <t>Celková výmera vlastnená v spoločenstve v m</t>
    </r>
    <r>
      <rPr>
        <b/>
        <vertAlign val="superscript"/>
        <sz val="10"/>
        <rFont val="Arial"/>
        <family val="2"/>
      </rPr>
      <t>2</t>
    </r>
  </si>
  <si>
    <t>Kozáčiková Božena JUDr. rod. Kozáčiková</t>
  </si>
  <si>
    <t xml:space="preserve">Zemenčík Ján </t>
  </si>
  <si>
    <t>Sedliacka Dubová 144, 027 55 Dlhá nad Oravou</t>
  </si>
  <si>
    <t>Sedliacka Dubová 164, 027 55 Dlhá nad Oravou</t>
  </si>
  <si>
    <t>Oravský Podzámok 652</t>
  </si>
  <si>
    <t>Majetok urbáru</t>
  </si>
  <si>
    <t>Urbár spolu</t>
  </si>
  <si>
    <r>
      <t>Vlastnená výmera v m</t>
    </r>
    <r>
      <rPr>
        <b/>
        <vertAlign val="superscript"/>
        <sz val="10"/>
        <rFont val="Arial"/>
        <family val="2"/>
      </rPr>
      <t>2</t>
    </r>
  </si>
  <si>
    <t>Výška hlasu                   zaokrúhlená na 2 desatinné miesta</t>
  </si>
  <si>
    <t>Majetok pasienkov</t>
  </si>
  <si>
    <t>Pasienky spolu</t>
  </si>
  <si>
    <t>6</t>
  </si>
  <si>
    <t>10</t>
  </si>
  <si>
    <t>16</t>
  </si>
  <si>
    <t>20</t>
  </si>
  <si>
    <t>24</t>
  </si>
  <si>
    <t>Teplice nad Metují</t>
  </si>
  <si>
    <t>Forgáčová Alžbeta rod. Palková</t>
  </si>
  <si>
    <t>Forgáčová Magdaléna Mgr.</t>
  </si>
  <si>
    <t>ul. Ľ. Štúra 2047, 026 01 Dolný Kubín</t>
  </si>
  <si>
    <t>Horná Lehota 116</t>
  </si>
  <si>
    <t>M.R.Štefánika 596, 027 43 Nižná</t>
  </si>
  <si>
    <t>Vavrečka</t>
  </si>
  <si>
    <t>M.R. Štefánika 1835/34  026 01Dolný Kubín</t>
  </si>
  <si>
    <t>Tvrdošín</t>
  </si>
  <si>
    <t>B.Nemcovej 31/18, Košice</t>
  </si>
  <si>
    <t>Lorincová Alžbeta rod. Bieľová</t>
  </si>
  <si>
    <t>Nižná 483/3, 027 43  Nižná nad Oravou</t>
  </si>
  <si>
    <t>Sedliacka Dubová 72, 027 55 Dlhá nad Oravou</t>
  </si>
  <si>
    <t>Reguliová Margita rod. Bieľová</t>
  </si>
  <si>
    <t>Horná Lehota 181</t>
  </si>
  <si>
    <t>Srogončíková Margita rod Strežová</t>
  </si>
  <si>
    <t>Vlastnícke podiely a výšky hlasov v Pozemkovom spoločenstve urbáru a pasienkov Horná Lehota</t>
  </si>
  <si>
    <r>
      <t>Výmera pripadajúca              na podiel                           v m</t>
    </r>
    <r>
      <rPr>
        <b/>
        <vertAlign val="superscript"/>
        <sz val="10"/>
        <rFont val="Arial"/>
        <family val="2"/>
      </rPr>
      <t>2</t>
    </r>
  </si>
  <si>
    <t>Celková výška hlasu                                         v spoločenstve zaokrúhlená na 2 desatinné miesta</t>
  </si>
</sst>
</file>

<file path=xl/styles.xml><?xml version="1.0" encoding="utf-8"?>
<styleSheet xmlns="http://schemas.openxmlformats.org/spreadsheetml/2006/main">
  <numFmts count="4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000000"/>
    <numFmt numFmtId="181" formatCode="0.0000000"/>
    <numFmt numFmtId="182" formatCode="0.00000000"/>
    <numFmt numFmtId="183" formatCode="0.00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0.000000E+00"/>
    <numFmt numFmtId="190" formatCode="0.0000000E+00"/>
    <numFmt numFmtId="191" formatCode="0.00000000E+00"/>
    <numFmt numFmtId="192" formatCode="0.000000000E+00"/>
    <numFmt numFmtId="193" formatCode="0.0000000000E+00"/>
    <numFmt numFmtId="194" formatCode="0.00000000000E+00"/>
    <numFmt numFmtId="195" formatCode="0.000000000000E+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</numFmts>
  <fonts count="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49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83" fontId="0" fillId="0" borderId="3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 horizontal="right"/>
    </xf>
    <xf numFmtId="183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12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12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3" fontId="0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183" fontId="2" fillId="0" borderId="1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 wrapText="1"/>
    </xf>
    <xf numFmtId="12" fontId="2" fillId="0" borderId="2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right"/>
    </xf>
    <xf numFmtId="2" fontId="2" fillId="0" borderId="2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right" vertical="center" wrapText="1"/>
    </xf>
    <xf numFmtId="183" fontId="0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/>
    </xf>
    <xf numFmtId="180" fontId="0" fillId="0" borderId="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 vertical="center" wrapText="1"/>
    </xf>
    <xf numFmtId="12" fontId="2" fillId="0" borderId="32" xfId="0" applyNumberFormat="1" applyFont="1" applyFill="1" applyBorder="1" applyAlignment="1">
      <alignment horizontal="center" vertical="center" wrapText="1"/>
    </xf>
    <xf numFmtId="1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188" fontId="2" fillId="0" borderId="33" xfId="0" applyNumberFormat="1" applyFont="1" applyFill="1" applyBorder="1" applyAlignment="1">
      <alignment horizontal="right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188" fontId="2" fillId="0" borderId="34" xfId="0" applyNumberFormat="1" applyFont="1" applyFill="1" applyBorder="1" applyAlignment="1">
      <alignment horizontal="right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right"/>
    </xf>
    <xf numFmtId="186" fontId="2" fillId="0" borderId="0" xfId="0" applyNumberFormat="1" applyFont="1" applyFill="1" applyAlignment="1">
      <alignment/>
    </xf>
    <xf numFmtId="188" fontId="2" fillId="0" borderId="30" xfId="0" applyNumberFormat="1" applyFont="1" applyFill="1" applyBorder="1" applyAlignment="1">
      <alignment horizontal="right" vertical="center" wrapText="1"/>
    </xf>
    <xf numFmtId="2" fontId="2" fillId="0" borderId="28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/>
    </xf>
    <xf numFmtId="181" fontId="2" fillId="0" borderId="28" xfId="0" applyNumberFormat="1" applyFont="1" applyFill="1" applyBorder="1" applyAlignment="1">
      <alignment/>
    </xf>
    <xf numFmtId="181" fontId="2" fillId="0" borderId="25" xfId="0" applyNumberFormat="1" applyFont="1" applyFill="1" applyBorder="1" applyAlignment="1">
      <alignment/>
    </xf>
    <xf numFmtId="181" fontId="2" fillId="0" borderId="25" xfId="0" applyNumberFormat="1" applyFont="1" applyFill="1" applyBorder="1" applyAlignment="1">
      <alignment horizontal="right" vertical="center"/>
    </xf>
    <xf numFmtId="181" fontId="2" fillId="0" borderId="23" xfId="0" applyNumberFormat="1" applyFont="1" applyFill="1" applyBorder="1" applyAlignment="1">
      <alignment/>
    </xf>
    <xf numFmtId="181" fontId="2" fillId="0" borderId="25" xfId="0" applyNumberFormat="1" applyFont="1" applyFill="1" applyBorder="1" applyAlignment="1">
      <alignment vertical="center"/>
    </xf>
    <xf numFmtId="2" fontId="0" fillId="0" borderId="25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3392"/>
  <sheetViews>
    <sheetView tabSelected="1" workbookViewId="0" topLeftCell="A1">
      <selection activeCell="B2" sqref="B2:AE2"/>
    </sheetView>
  </sheetViews>
  <sheetFormatPr defaultColWidth="9.140625" defaultRowHeight="12.75"/>
  <cols>
    <col min="1" max="1" width="3.7109375" style="9" customWidth="1"/>
    <col min="2" max="2" width="5.7109375" style="9" customWidth="1"/>
    <col min="3" max="3" width="39.28125" style="9" customWidth="1"/>
    <col min="4" max="4" width="44.421875" style="9" customWidth="1"/>
    <col min="5" max="5" width="14.8515625" style="30" customWidth="1"/>
    <col min="6" max="6" width="6.7109375" style="9" customWidth="1"/>
    <col min="7" max="7" width="15.00390625" style="28" customWidth="1"/>
    <col min="8" max="8" width="14.140625" style="9" customWidth="1"/>
    <col min="9" max="9" width="12.7109375" style="9" customWidth="1"/>
    <col min="10" max="10" width="6.421875" style="9" customWidth="1"/>
    <col min="11" max="11" width="14.8515625" style="9" customWidth="1"/>
    <col min="12" max="12" width="14.7109375" style="9" customWidth="1"/>
    <col min="13" max="13" width="12.140625" style="9" customWidth="1"/>
    <col min="14" max="14" width="13.421875" style="9" customWidth="1"/>
    <col min="15" max="15" width="14.7109375" style="9" customWidth="1"/>
    <col min="16" max="16" width="7.00390625" style="9" customWidth="1"/>
    <col min="17" max="18" width="15.00390625" style="9" customWidth="1"/>
    <col min="19" max="19" width="13.140625" style="9" customWidth="1"/>
    <col min="20" max="20" width="6.8515625" style="29" customWidth="1"/>
    <col min="21" max="21" width="14.57421875" style="30" customWidth="1"/>
    <col min="22" max="22" width="13.8515625" style="9" customWidth="1"/>
    <col min="23" max="23" width="12.7109375" style="9" customWidth="1"/>
    <col min="24" max="24" width="7.140625" style="9" customWidth="1"/>
    <col min="25" max="25" width="11.7109375" style="9" customWidth="1"/>
    <col min="26" max="26" width="14.8515625" style="9" customWidth="1"/>
    <col min="27" max="27" width="18.7109375" style="9" customWidth="1"/>
    <col min="28" max="28" width="16.00390625" style="9" customWidth="1"/>
    <col min="29" max="29" width="15.57421875" style="9" customWidth="1"/>
    <col min="30" max="30" width="19.00390625" style="9" customWidth="1"/>
    <col min="31" max="31" width="20.421875" style="57" customWidth="1"/>
    <col min="32" max="32" width="13.8515625" style="9" customWidth="1"/>
    <col min="33" max="33" width="13.28125" style="9" customWidth="1"/>
    <col min="34" max="34" width="11.140625" style="29" customWidth="1"/>
    <col min="35" max="35" width="12.421875" style="30" customWidth="1"/>
    <col min="36" max="36" width="13.421875" style="9" customWidth="1"/>
    <col min="37" max="37" width="12.7109375" style="9" customWidth="1"/>
    <col min="38" max="38" width="10.7109375" style="29" customWidth="1"/>
    <col min="39" max="39" width="13.421875" style="30" customWidth="1"/>
    <col min="40" max="40" width="13.421875" style="9" customWidth="1"/>
    <col min="41" max="41" width="12.421875" style="9" customWidth="1"/>
    <col min="42" max="42" width="11.140625" style="29" customWidth="1"/>
    <col min="43" max="43" width="15.00390625" style="30" customWidth="1"/>
    <col min="44" max="44" width="14.421875" style="9" customWidth="1"/>
    <col min="45" max="45" width="13.140625" style="9" customWidth="1"/>
    <col min="46" max="46" width="11.8515625" style="29" customWidth="1"/>
    <col min="47" max="47" width="13.140625" style="30" customWidth="1"/>
    <col min="48" max="48" width="14.421875" style="9" customWidth="1"/>
    <col min="49" max="49" width="14.28125" style="9" customWidth="1"/>
    <col min="50" max="50" width="11.8515625" style="29" customWidth="1"/>
    <col min="51" max="51" width="11.140625" style="30" customWidth="1"/>
    <col min="52" max="52" width="13.8515625" style="9" customWidth="1"/>
    <col min="53" max="53" width="12.421875" style="9" customWidth="1"/>
    <col min="54" max="16384" width="18.28125" style="9" customWidth="1"/>
  </cols>
  <sheetData>
    <row r="2" spans="2:31" ht="20.25">
      <c r="B2" s="132" t="s">
        <v>637</v>
      </c>
      <c r="C2" s="132"/>
      <c r="D2" s="132"/>
      <c r="E2" s="133"/>
      <c r="F2" s="132"/>
      <c r="G2" s="133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132"/>
      <c r="W2" s="132"/>
      <c r="X2" s="132"/>
      <c r="Y2" s="132"/>
      <c r="Z2" s="132"/>
      <c r="AA2" s="132"/>
      <c r="AB2" s="132"/>
      <c r="AC2" s="132"/>
      <c r="AD2" s="132"/>
      <c r="AE2" s="134"/>
    </row>
    <row r="3" ht="13.5" thickBot="1"/>
    <row r="4" spans="1:31" s="27" customFormat="1" ht="13.5" customHeight="1" thickBot="1">
      <c r="A4" s="9"/>
      <c r="B4" s="135" t="s">
        <v>603</v>
      </c>
      <c r="C4" s="137" t="s">
        <v>0</v>
      </c>
      <c r="D4" s="137" t="s">
        <v>1</v>
      </c>
      <c r="E4" s="140" t="s">
        <v>2</v>
      </c>
      <c r="F4" s="141" t="s">
        <v>12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/>
      <c r="AD4" s="144" t="s">
        <v>539</v>
      </c>
      <c r="AE4" s="145"/>
    </row>
    <row r="5" spans="1:31" s="27" customFormat="1" ht="13.5" customHeight="1" thickBot="1">
      <c r="A5" s="9"/>
      <c r="B5" s="136"/>
      <c r="C5" s="138"/>
      <c r="D5" s="138"/>
      <c r="E5" s="138"/>
      <c r="F5" s="118" t="s">
        <v>610</v>
      </c>
      <c r="G5" s="150"/>
      <c r="H5" s="150"/>
      <c r="I5" s="150"/>
      <c r="J5" s="150"/>
      <c r="K5" s="150"/>
      <c r="L5" s="150"/>
      <c r="M5" s="150"/>
      <c r="N5" s="150"/>
      <c r="O5" s="151"/>
      <c r="P5" s="118" t="s">
        <v>614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  <c r="AD5" s="146"/>
      <c r="AE5" s="147"/>
    </row>
    <row r="6" spans="1:31" s="27" customFormat="1" ht="16.5" thickBot="1">
      <c r="A6" s="9"/>
      <c r="B6" s="136"/>
      <c r="C6" s="138"/>
      <c r="D6" s="138"/>
      <c r="E6" s="138"/>
      <c r="F6" s="121" t="s">
        <v>7</v>
      </c>
      <c r="G6" s="122"/>
      <c r="H6" s="122"/>
      <c r="I6" s="123"/>
      <c r="J6" s="121" t="s">
        <v>8</v>
      </c>
      <c r="K6" s="122"/>
      <c r="L6" s="122"/>
      <c r="M6" s="123"/>
      <c r="N6" s="124" t="s">
        <v>611</v>
      </c>
      <c r="O6" s="125"/>
      <c r="P6" s="126" t="s">
        <v>9</v>
      </c>
      <c r="Q6" s="127"/>
      <c r="R6" s="127"/>
      <c r="S6" s="128"/>
      <c r="T6" s="129" t="s">
        <v>10</v>
      </c>
      <c r="U6" s="130"/>
      <c r="V6" s="130"/>
      <c r="W6" s="131"/>
      <c r="X6" s="124" t="s">
        <v>11</v>
      </c>
      <c r="Y6" s="119"/>
      <c r="Z6" s="119"/>
      <c r="AA6" s="120"/>
      <c r="AB6" s="124" t="s">
        <v>615</v>
      </c>
      <c r="AC6" s="125"/>
      <c r="AD6" s="148"/>
      <c r="AE6" s="149"/>
    </row>
    <row r="7" spans="1:31" s="27" customFormat="1" ht="69.75" customHeight="1" thickBot="1">
      <c r="A7" s="9"/>
      <c r="B7" s="136"/>
      <c r="C7" s="139"/>
      <c r="D7" s="139"/>
      <c r="E7" s="139"/>
      <c r="F7" s="53" t="s">
        <v>3</v>
      </c>
      <c r="G7" s="54" t="s">
        <v>4</v>
      </c>
      <c r="H7" s="55" t="s">
        <v>5</v>
      </c>
      <c r="I7" s="56" t="s">
        <v>6</v>
      </c>
      <c r="J7" s="53" t="s">
        <v>3</v>
      </c>
      <c r="K7" s="54" t="s">
        <v>4</v>
      </c>
      <c r="L7" s="55" t="s">
        <v>5</v>
      </c>
      <c r="M7" s="56" t="s">
        <v>6</v>
      </c>
      <c r="N7" s="87" t="s">
        <v>612</v>
      </c>
      <c r="O7" s="85" t="s">
        <v>613</v>
      </c>
      <c r="P7" s="53" t="s">
        <v>3</v>
      </c>
      <c r="Q7" s="54" t="s">
        <v>4</v>
      </c>
      <c r="R7" s="55" t="s">
        <v>5</v>
      </c>
      <c r="S7" s="56" t="s">
        <v>6</v>
      </c>
      <c r="T7" s="53" t="s">
        <v>3</v>
      </c>
      <c r="U7" s="54" t="s">
        <v>4</v>
      </c>
      <c r="V7" s="55" t="s">
        <v>5</v>
      </c>
      <c r="W7" s="56" t="s">
        <v>6</v>
      </c>
      <c r="X7" s="53" t="s">
        <v>3</v>
      </c>
      <c r="Y7" s="54" t="s">
        <v>4</v>
      </c>
      <c r="Z7" s="55" t="s">
        <v>5</v>
      </c>
      <c r="AA7" s="44" t="s">
        <v>638</v>
      </c>
      <c r="AB7" s="86" t="s">
        <v>612</v>
      </c>
      <c r="AC7" s="58" t="s">
        <v>613</v>
      </c>
      <c r="AD7" s="47" t="s">
        <v>604</v>
      </c>
      <c r="AE7" s="58" t="s">
        <v>639</v>
      </c>
    </row>
    <row r="8" spans="1:31" s="96" customFormat="1" ht="12.75" customHeight="1" thickBot="1">
      <c r="A8" s="94"/>
      <c r="B8" s="97">
        <v>1</v>
      </c>
      <c r="C8" s="95">
        <v>2</v>
      </c>
      <c r="D8" s="95">
        <v>3</v>
      </c>
      <c r="E8" s="95">
        <v>4</v>
      </c>
      <c r="F8" s="48">
        <v>5</v>
      </c>
      <c r="G8" s="54" t="s">
        <v>616</v>
      </c>
      <c r="H8" s="97">
        <v>7</v>
      </c>
      <c r="I8" s="44">
        <v>8</v>
      </c>
      <c r="J8" s="48">
        <v>9</v>
      </c>
      <c r="K8" s="54" t="s">
        <v>617</v>
      </c>
      <c r="L8" s="97">
        <v>11</v>
      </c>
      <c r="M8" s="44">
        <v>12</v>
      </c>
      <c r="N8" s="97">
        <v>13</v>
      </c>
      <c r="O8" s="97">
        <v>14</v>
      </c>
      <c r="P8" s="48">
        <v>15</v>
      </c>
      <c r="Q8" s="54" t="s">
        <v>618</v>
      </c>
      <c r="R8" s="97">
        <v>17</v>
      </c>
      <c r="S8" s="44">
        <v>18</v>
      </c>
      <c r="T8" s="48">
        <v>19</v>
      </c>
      <c r="U8" s="54" t="s">
        <v>619</v>
      </c>
      <c r="V8" s="97">
        <v>21</v>
      </c>
      <c r="W8" s="44">
        <v>22</v>
      </c>
      <c r="X8" s="48">
        <v>23</v>
      </c>
      <c r="Y8" s="54" t="s">
        <v>620</v>
      </c>
      <c r="Z8" s="97">
        <v>25</v>
      </c>
      <c r="AA8" s="44">
        <v>26</v>
      </c>
      <c r="AB8" s="44">
        <v>27</v>
      </c>
      <c r="AC8" s="44">
        <v>28</v>
      </c>
      <c r="AD8" s="44">
        <v>29</v>
      </c>
      <c r="AE8" s="97">
        <v>30</v>
      </c>
    </row>
    <row r="9" spans="2:31" s="27" customFormat="1" ht="12.75">
      <c r="B9" s="79">
        <v>1</v>
      </c>
      <c r="C9" s="36" t="s">
        <v>380</v>
      </c>
      <c r="D9" s="24"/>
      <c r="E9" s="40" t="s">
        <v>381</v>
      </c>
      <c r="F9" s="60"/>
      <c r="G9" s="20"/>
      <c r="H9" s="21"/>
      <c r="I9" s="25"/>
      <c r="J9" s="23"/>
      <c r="K9" s="20"/>
      <c r="L9" s="24"/>
      <c r="M9" s="22"/>
      <c r="N9" s="92"/>
      <c r="O9" s="93"/>
      <c r="P9" s="60">
        <v>47</v>
      </c>
      <c r="Q9" s="20" t="s">
        <v>371</v>
      </c>
      <c r="R9" s="24">
        <f>1/1533</f>
        <v>0.0006523157208088715</v>
      </c>
      <c r="S9" s="25">
        <f>R9*550774</f>
        <v>359.27853881278537</v>
      </c>
      <c r="T9" s="23">
        <v>40</v>
      </c>
      <c r="U9" s="20" t="s">
        <v>371</v>
      </c>
      <c r="V9" s="24">
        <f>1/1533</f>
        <v>0.0006523157208088715</v>
      </c>
      <c r="W9" s="25">
        <f>V9*202</f>
        <v>0.13176777560339203</v>
      </c>
      <c r="X9" s="23">
        <v>23</v>
      </c>
      <c r="Y9" s="20" t="s">
        <v>371</v>
      </c>
      <c r="Z9" s="24">
        <f>1/1533</f>
        <v>0.0006523157208088715</v>
      </c>
      <c r="AA9" s="26">
        <f>Z9*356861</f>
        <v>232.78604044357468</v>
      </c>
      <c r="AB9" s="105">
        <f>S9+W9+AA9</f>
        <v>592.1963470319635</v>
      </c>
      <c r="AC9" s="101">
        <f>(S9+W9+AA9)/6218.062</f>
        <v>0.09523808978295223</v>
      </c>
      <c r="AD9" s="113">
        <f>I9+M9+S9+W9+AA9</f>
        <v>592.1963470319635</v>
      </c>
      <c r="AE9" s="52">
        <f>AD9/4388.131</f>
        <v>0.13495411760313522</v>
      </c>
    </row>
    <row r="10" spans="2:31" s="27" customFormat="1" ht="12.75">
      <c r="B10" s="80">
        <v>2</v>
      </c>
      <c r="C10" s="36" t="s">
        <v>13</v>
      </c>
      <c r="D10" s="24" t="s">
        <v>14</v>
      </c>
      <c r="E10" s="40" t="s">
        <v>15</v>
      </c>
      <c r="F10" s="60">
        <v>2</v>
      </c>
      <c r="G10" s="20" t="s">
        <v>16</v>
      </c>
      <c r="H10" s="21">
        <f>72/17400</f>
        <v>0.004137931034482759</v>
      </c>
      <c r="I10" s="25">
        <f>H10*204639</f>
        <v>846.7820689655173</v>
      </c>
      <c r="J10" s="23">
        <v>5</v>
      </c>
      <c r="K10" s="20" t="s">
        <v>16</v>
      </c>
      <c r="L10" s="21">
        <f>72/17400</f>
        <v>0.004137931034482759</v>
      </c>
      <c r="M10" s="22">
        <f>L10*1067919</f>
        <v>4418.975172413793</v>
      </c>
      <c r="N10" s="89">
        <f>I10+M10</f>
        <v>5265.7572413793105</v>
      </c>
      <c r="O10" s="90">
        <f>(I10+M10)/4388.131</f>
        <v>1.2000000094298255</v>
      </c>
      <c r="P10" s="60">
        <v>52</v>
      </c>
      <c r="Q10" s="20" t="s">
        <v>382</v>
      </c>
      <c r="R10" s="21">
        <f>12/2920</f>
        <v>0.00410958904109589</v>
      </c>
      <c r="S10" s="25">
        <f>R10*550774</f>
        <v>2263.4547945205477</v>
      </c>
      <c r="T10" s="23">
        <v>45</v>
      </c>
      <c r="U10" s="20" t="s">
        <v>382</v>
      </c>
      <c r="V10" s="21">
        <f>12/2920</f>
        <v>0.00410958904109589</v>
      </c>
      <c r="W10" s="25">
        <f>V10*202</f>
        <v>0.8301369863013698</v>
      </c>
      <c r="X10" s="23">
        <v>28</v>
      </c>
      <c r="Y10" s="20" t="s">
        <v>382</v>
      </c>
      <c r="Z10" s="24">
        <f>12/2920</f>
        <v>0.00410958904109589</v>
      </c>
      <c r="AA10" s="26">
        <f>Z10*356861</f>
        <v>1466.5520547945205</v>
      </c>
      <c r="AB10" s="106">
        <f aca="true" t="shared" si="0" ref="AB10:AB71">S10+W10+AA10</f>
        <v>3730.8369863013695</v>
      </c>
      <c r="AC10" s="102">
        <f aca="true" t="shared" si="1" ref="AC10:AC71">(S10+W10+AA10)/6218.062</f>
        <v>0.5999999656325989</v>
      </c>
      <c r="AD10" s="113">
        <f aca="true" t="shared" si="2" ref="AD10:AD71">I10+M10+S10+W10+AA10</f>
        <v>8996.59422768068</v>
      </c>
      <c r="AE10" s="52">
        <f aca="true" t="shared" si="3" ref="AE10:AE71">AD10/4388.131</f>
        <v>2.0502109503295776</v>
      </c>
    </row>
    <row r="11" spans="2:31" s="27" customFormat="1" ht="12.75">
      <c r="B11" s="80">
        <v>3</v>
      </c>
      <c r="C11" s="35" t="s">
        <v>13</v>
      </c>
      <c r="D11" s="3" t="s">
        <v>14</v>
      </c>
      <c r="E11" s="39" t="s">
        <v>15</v>
      </c>
      <c r="F11" s="61"/>
      <c r="G11" s="4"/>
      <c r="H11" s="3"/>
      <c r="I11" s="12"/>
      <c r="J11" s="2"/>
      <c r="K11" s="6"/>
      <c r="L11" s="3"/>
      <c r="M11" s="10"/>
      <c r="N11" s="89"/>
      <c r="O11" s="90"/>
      <c r="P11" s="61">
        <v>95</v>
      </c>
      <c r="Q11" s="4" t="s">
        <v>434</v>
      </c>
      <c r="R11" s="3">
        <f>12/584</f>
        <v>0.02054794520547945</v>
      </c>
      <c r="S11" s="12">
        <f>R11*550774</f>
        <v>11317.27397260274</v>
      </c>
      <c r="T11" s="11">
        <v>83</v>
      </c>
      <c r="U11" s="4" t="s">
        <v>434</v>
      </c>
      <c r="V11" s="3">
        <f>12/584</f>
        <v>0.02054794520547945</v>
      </c>
      <c r="W11" s="12">
        <f>V11*202</f>
        <v>4.1506849315068495</v>
      </c>
      <c r="X11" s="11">
        <v>67</v>
      </c>
      <c r="Y11" s="4" t="s">
        <v>434</v>
      </c>
      <c r="Z11" s="14">
        <f>12/584</f>
        <v>0.02054794520547945</v>
      </c>
      <c r="AA11" s="13">
        <f>Z11*356861</f>
        <v>7332.760273972603</v>
      </c>
      <c r="AB11" s="106">
        <f>S11+W11+AA11</f>
        <v>18654.184931506847</v>
      </c>
      <c r="AC11" s="102">
        <f>(S11+W11+AA11)/6218.062</f>
        <v>2.9999998281629945</v>
      </c>
      <c r="AD11" s="113">
        <f>I11+M11+S11+W11+AA11</f>
        <v>18654.184931506847</v>
      </c>
      <c r="AE11" s="52">
        <f t="shared" si="3"/>
        <v>4.25105470449876</v>
      </c>
    </row>
    <row r="12" spans="2:31" s="27" customFormat="1" ht="12.75">
      <c r="B12" s="80">
        <v>4</v>
      </c>
      <c r="C12" s="35" t="s">
        <v>292</v>
      </c>
      <c r="D12" s="3" t="s">
        <v>270</v>
      </c>
      <c r="E12" s="39" t="s">
        <v>271</v>
      </c>
      <c r="F12" s="61">
        <v>125</v>
      </c>
      <c r="G12" s="4" t="s">
        <v>34</v>
      </c>
      <c r="H12" s="14">
        <f>120/17400</f>
        <v>0.006896551724137931</v>
      </c>
      <c r="I12" s="12">
        <f>H12*204639</f>
        <v>1411.3034482758621</v>
      </c>
      <c r="J12" s="11">
        <v>6</v>
      </c>
      <c r="K12" s="4" t="s">
        <v>34</v>
      </c>
      <c r="L12" s="3">
        <f>120/17400</f>
        <v>0.006896551724137931</v>
      </c>
      <c r="M12" s="10">
        <f>L12*1067919</f>
        <v>7364.958620689655</v>
      </c>
      <c r="N12" s="89">
        <f aca="true" t="shared" si="4" ref="N12:N71">I12+M12</f>
        <v>8776.262068965516</v>
      </c>
      <c r="O12" s="90">
        <f aca="true" t="shared" si="5" ref="O12:O71">(I12+M12)/4388.131</f>
        <v>2.0000000157163758</v>
      </c>
      <c r="P12" s="61">
        <v>94</v>
      </c>
      <c r="Q12" s="4" t="s">
        <v>202</v>
      </c>
      <c r="R12" s="3">
        <f>120/17520</f>
        <v>0.00684931506849315</v>
      </c>
      <c r="S12" s="12">
        <f>R12*550774</f>
        <v>3772.4246575342463</v>
      </c>
      <c r="T12" s="11">
        <v>82</v>
      </c>
      <c r="U12" s="4" t="s">
        <v>202</v>
      </c>
      <c r="V12" s="3">
        <f>120/17520</f>
        <v>0.00684931506849315</v>
      </c>
      <c r="W12" s="12">
        <f>V12*202</f>
        <v>1.3835616438356164</v>
      </c>
      <c r="X12" s="11">
        <v>66</v>
      </c>
      <c r="Y12" s="4" t="s">
        <v>202</v>
      </c>
      <c r="Z12" s="3">
        <f>120/17520</f>
        <v>0.00684931506849315</v>
      </c>
      <c r="AA12" s="13">
        <f>Z12*356861</f>
        <v>2444.253424657534</v>
      </c>
      <c r="AB12" s="106">
        <f t="shared" si="0"/>
        <v>6218.0616438356155</v>
      </c>
      <c r="AC12" s="102">
        <f t="shared" si="1"/>
        <v>0.9999999427209982</v>
      </c>
      <c r="AD12" s="113">
        <f t="shared" si="2"/>
        <v>14994.323712801131</v>
      </c>
      <c r="AE12" s="52">
        <f t="shared" si="3"/>
        <v>3.4170182505492956</v>
      </c>
    </row>
    <row r="13" spans="2:31" s="27" customFormat="1" ht="12.75">
      <c r="B13" s="80">
        <v>5</v>
      </c>
      <c r="C13" s="35" t="s">
        <v>536</v>
      </c>
      <c r="D13" s="3" t="s">
        <v>285</v>
      </c>
      <c r="E13" s="39" t="s">
        <v>537</v>
      </c>
      <c r="F13" s="61"/>
      <c r="G13" s="4"/>
      <c r="H13" s="3"/>
      <c r="I13" s="12"/>
      <c r="J13" s="2"/>
      <c r="K13" s="6"/>
      <c r="L13" s="3"/>
      <c r="M13" s="10"/>
      <c r="N13" s="89"/>
      <c r="O13" s="90"/>
      <c r="P13" s="61"/>
      <c r="Q13" s="4"/>
      <c r="R13" s="3"/>
      <c r="S13" s="12"/>
      <c r="T13" s="11"/>
      <c r="U13" s="4"/>
      <c r="V13" s="3"/>
      <c r="W13" s="12"/>
      <c r="X13" s="11">
        <v>147</v>
      </c>
      <c r="Y13" s="4" t="s">
        <v>455</v>
      </c>
      <c r="Z13" s="3">
        <f>60/17520</f>
        <v>0.003424657534246575</v>
      </c>
      <c r="AA13" s="13">
        <f>Z13*356861</f>
        <v>1222.126712328767</v>
      </c>
      <c r="AB13" s="106">
        <f t="shared" si="0"/>
        <v>1222.126712328767</v>
      </c>
      <c r="AC13" s="102">
        <f t="shared" si="1"/>
        <v>0.19654463276962614</v>
      </c>
      <c r="AD13" s="113">
        <f t="shared" si="2"/>
        <v>1222.126712328767</v>
      </c>
      <c r="AE13" s="52">
        <f t="shared" si="3"/>
        <v>0.2785073445457228</v>
      </c>
    </row>
    <row r="14" spans="2:31" s="27" customFormat="1" ht="12.75">
      <c r="B14" s="80">
        <v>6</v>
      </c>
      <c r="C14" s="35" t="s">
        <v>540</v>
      </c>
      <c r="D14" s="3" t="s">
        <v>285</v>
      </c>
      <c r="E14" s="39" t="s">
        <v>286</v>
      </c>
      <c r="F14" s="61">
        <v>133</v>
      </c>
      <c r="G14" s="4" t="s">
        <v>232</v>
      </c>
      <c r="H14" s="14">
        <f>210/69600</f>
        <v>0.003017241379310345</v>
      </c>
      <c r="I14" s="12">
        <f>H14*204639</f>
        <v>617.4452586206896</v>
      </c>
      <c r="J14" s="11"/>
      <c r="K14" s="4"/>
      <c r="L14" s="3"/>
      <c r="M14" s="10"/>
      <c r="N14" s="89">
        <f t="shared" si="4"/>
        <v>617.4452586206896</v>
      </c>
      <c r="O14" s="90">
        <f t="shared" si="5"/>
        <v>0.14070802777325692</v>
      </c>
      <c r="P14" s="61">
        <v>207</v>
      </c>
      <c r="Q14" s="4" t="s">
        <v>455</v>
      </c>
      <c r="R14" s="3">
        <f>60/17520</f>
        <v>0.003424657534246575</v>
      </c>
      <c r="S14" s="12">
        <f>R14*550774</f>
        <v>1886.2123287671232</v>
      </c>
      <c r="T14" s="11">
        <v>193</v>
      </c>
      <c r="U14" s="4" t="s">
        <v>455</v>
      </c>
      <c r="V14" s="3">
        <f>60/17520</f>
        <v>0.003424657534246575</v>
      </c>
      <c r="W14" s="12">
        <f>V14*202</f>
        <v>0.6917808219178082</v>
      </c>
      <c r="X14" s="11"/>
      <c r="Y14" s="4"/>
      <c r="Z14" s="3"/>
      <c r="AA14" s="13"/>
      <c r="AB14" s="106">
        <f t="shared" si="0"/>
        <v>1886.904109589041</v>
      </c>
      <c r="AC14" s="102">
        <f t="shared" si="1"/>
        <v>0.303455338590873</v>
      </c>
      <c r="AD14" s="113">
        <f t="shared" si="2"/>
        <v>2504.3493682097305</v>
      </c>
      <c r="AE14" s="52">
        <f t="shared" si="3"/>
        <v>0.5707098006439941</v>
      </c>
    </row>
    <row r="15" spans="2:31" s="27" customFormat="1" ht="12.75">
      <c r="B15" s="80">
        <v>7</v>
      </c>
      <c r="C15" s="35" t="s">
        <v>293</v>
      </c>
      <c r="D15" s="3" t="s">
        <v>285</v>
      </c>
      <c r="E15" s="39" t="s">
        <v>294</v>
      </c>
      <c r="F15" s="61"/>
      <c r="G15" s="4"/>
      <c r="H15" s="14"/>
      <c r="I15" s="12"/>
      <c r="J15" s="11">
        <v>7</v>
      </c>
      <c r="K15" s="4" t="s">
        <v>81</v>
      </c>
      <c r="L15" s="3">
        <f>210/17400</f>
        <v>0.01206896551724138</v>
      </c>
      <c r="M15" s="10">
        <f>L15*1067919</f>
        <v>12888.677586206897</v>
      </c>
      <c r="N15" s="89">
        <f t="shared" si="4"/>
        <v>12888.677586206897</v>
      </c>
      <c r="O15" s="90">
        <f t="shared" si="5"/>
        <v>2.9371679164106306</v>
      </c>
      <c r="P15" s="61"/>
      <c r="Q15" s="4"/>
      <c r="R15" s="3"/>
      <c r="S15" s="12"/>
      <c r="T15" s="11"/>
      <c r="U15" s="4"/>
      <c r="V15" s="3"/>
      <c r="W15" s="12"/>
      <c r="X15" s="11"/>
      <c r="Y15" s="4"/>
      <c r="Z15" s="3"/>
      <c r="AA15" s="13"/>
      <c r="AB15" s="106"/>
      <c r="AC15" s="102"/>
      <c r="AD15" s="113">
        <f t="shared" si="2"/>
        <v>12888.677586206897</v>
      </c>
      <c r="AE15" s="52">
        <f t="shared" si="3"/>
        <v>2.9371679164106306</v>
      </c>
    </row>
    <row r="16" spans="2:31" s="27" customFormat="1" ht="12.75">
      <c r="B16" s="80">
        <v>8</v>
      </c>
      <c r="C16" s="35" t="s">
        <v>541</v>
      </c>
      <c r="D16" s="3" t="s">
        <v>17</v>
      </c>
      <c r="E16" s="39" t="s">
        <v>18</v>
      </c>
      <c r="F16" s="61">
        <v>4</v>
      </c>
      <c r="G16" s="4" t="s">
        <v>19</v>
      </c>
      <c r="H16" s="3">
        <f>90/17400</f>
        <v>0.005172413793103448</v>
      </c>
      <c r="I16" s="12">
        <f>H16*204639</f>
        <v>1058.4775862068966</v>
      </c>
      <c r="J16" s="11">
        <v>8</v>
      </c>
      <c r="K16" s="4" t="s">
        <v>19</v>
      </c>
      <c r="L16" s="3">
        <f>90/17400</f>
        <v>0.005172413793103448</v>
      </c>
      <c r="M16" s="10">
        <f>L16*1067919</f>
        <v>5523.7189655172415</v>
      </c>
      <c r="N16" s="89">
        <f t="shared" si="4"/>
        <v>6582.196551724138</v>
      </c>
      <c r="O16" s="90">
        <f t="shared" si="5"/>
        <v>1.500000011787282</v>
      </c>
      <c r="P16" s="61">
        <v>97</v>
      </c>
      <c r="Q16" s="4" t="s">
        <v>432</v>
      </c>
      <c r="R16" s="3">
        <f>4/1752</f>
        <v>0.00228310502283105</v>
      </c>
      <c r="S16" s="12">
        <f>R16*550774</f>
        <v>1257.4748858447488</v>
      </c>
      <c r="T16" s="11">
        <v>85</v>
      </c>
      <c r="U16" s="4" t="s">
        <v>432</v>
      </c>
      <c r="V16" s="3">
        <f>4/1752</f>
        <v>0.00228310502283105</v>
      </c>
      <c r="W16" s="12">
        <f>V16*202</f>
        <v>0.4611872146118721</v>
      </c>
      <c r="X16" s="11">
        <v>69</v>
      </c>
      <c r="Y16" s="4" t="s">
        <v>432</v>
      </c>
      <c r="Z16" s="3">
        <f>4/1752</f>
        <v>0.00228310502283105</v>
      </c>
      <c r="AA16" s="13">
        <f>Z16*356861</f>
        <v>814.7511415525114</v>
      </c>
      <c r="AB16" s="106">
        <f t="shared" si="0"/>
        <v>2072.687214611872</v>
      </c>
      <c r="AC16" s="102">
        <f t="shared" si="1"/>
        <v>0.3333333142403328</v>
      </c>
      <c r="AD16" s="113">
        <f t="shared" si="2"/>
        <v>8654.88376633601</v>
      </c>
      <c r="AE16" s="52">
        <f t="shared" si="3"/>
        <v>1.9723394233982552</v>
      </c>
    </row>
    <row r="17" spans="2:31" s="27" customFormat="1" ht="12.75">
      <c r="B17" s="80">
        <v>9</v>
      </c>
      <c r="C17" s="35" t="s">
        <v>23</v>
      </c>
      <c r="D17" s="3" t="s">
        <v>24</v>
      </c>
      <c r="E17" s="39" t="s">
        <v>25</v>
      </c>
      <c r="F17" s="61">
        <v>6</v>
      </c>
      <c r="G17" s="4" t="s">
        <v>19</v>
      </c>
      <c r="H17" s="3">
        <f>90/17400</f>
        <v>0.005172413793103448</v>
      </c>
      <c r="I17" s="12">
        <f>H17*204639</f>
        <v>1058.4775862068966</v>
      </c>
      <c r="J17" s="11"/>
      <c r="K17" s="4"/>
      <c r="L17" s="3"/>
      <c r="M17" s="10"/>
      <c r="N17" s="89">
        <f t="shared" si="4"/>
        <v>1058.4775862068966</v>
      </c>
      <c r="O17" s="90">
        <f t="shared" si="5"/>
        <v>0.24121376189701185</v>
      </c>
      <c r="P17" s="61"/>
      <c r="Q17" s="4"/>
      <c r="R17" s="3"/>
      <c r="S17" s="12"/>
      <c r="T17" s="11"/>
      <c r="U17" s="4"/>
      <c r="V17" s="3"/>
      <c r="W17" s="12"/>
      <c r="X17" s="11"/>
      <c r="Y17" s="4"/>
      <c r="Z17" s="3"/>
      <c r="AA17" s="13"/>
      <c r="AB17" s="106"/>
      <c r="AC17" s="102"/>
      <c r="AD17" s="113">
        <f t="shared" si="2"/>
        <v>1058.4775862068966</v>
      </c>
      <c r="AE17" s="52">
        <f t="shared" si="3"/>
        <v>0.24121376189701185</v>
      </c>
    </row>
    <row r="18" spans="2:31" s="27" customFormat="1" ht="12.75">
      <c r="B18" s="80">
        <v>10</v>
      </c>
      <c r="C18" s="35" t="s">
        <v>542</v>
      </c>
      <c r="D18" s="3" t="s">
        <v>24</v>
      </c>
      <c r="E18" s="39" t="s">
        <v>25</v>
      </c>
      <c r="F18" s="61"/>
      <c r="G18" s="4"/>
      <c r="H18" s="3"/>
      <c r="I18" s="12"/>
      <c r="J18" s="2"/>
      <c r="K18" s="6"/>
      <c r="L18" s="3"/>
      <c r="M18" s="10"/>
      <c r="N18" s="89"/>
      <c r="O18" s="90"/>
      <c r="P18" s="61"/>
      <c r="Q18" s="4"/>
      <c r="R18" s="3"/>
      <c r="S18" s="12"/>
      <c r="T18" s="11">
        <v>31</v>
      </c>
      <c r="U18" s="4" t="s">
        <v>356</v>
      </c>
      <c r="V18" s="3">
        <f>4/584</f>
        <v>0.00684931506849315</v>
      </c>
      <c r="W18" s="12">
        <f aca="true" t="shared" si="6" ref="W18:W25">V18*202</f>
        <v>1.3835616438356164</v>
      </c>
      <c r="X18" s="11"/>
      <c r="Y18" s="4"/>
      <c r="Z18" s="3"/>
      <c r="AA18" s="13"/>
      <c r="AB18" s="106">
        <f t="shared" si="0"/>
        <v>1.3835616438356164</v>
      </c>
      <c r="AC18" s="102">
        <f t="shared" si="1"/>
        <v>0.00022250689102739992</v>
      </c>
      <c r="AD18" s="113">
        <f t="shared" si="2"/>
        <v>1.3835616438356164</v>
      </c>
      <c r="AE18" s="52">
        <f t="shared" si="3"/>
        <v>0.0003152963400216667</v>
      </c>
    </row>
    <row r="19" spans="2:31" s="27" customFormat="1" ht="12.75">
      <c r="B19" s="80">
        <v>11</v>
      </c>
      <c r="C19" s="35" t="s">
        <v>543</v>
      </c>
      <c r="D19" s="3" t="s">
        <v>20</v>
      </c>
      <c r="E19" s="39" t="s">
        <v>21</v>
      </c>
      <c r="F19" s="61">
        <v>5</v>
      </c>
      <c r="G19" s="4" t="s">
        <v>22</v>
      </c>
      <c r="H19" s="3">
        <f>180/17400</f>
        <v>0.010344827586206896</v>
      </c>
      <c r="I19" s="12">
        <f>H19*204639</f>
        <v>2116.955172413793</v>
      </c>
      <c r="J19" s="11">
        <v>9</v>
      </c>
      <c r="K19" s="4" t="s">
        <v>22</v>
      </c>
      <c r="L19" s="3">
        <f>180/17400</f>
        <v>0.010344827586206896</v>
      </c>
      <c r="M19" s="10">
        <f>L19*1067919</f>
        <v>11047.437931034483</v>
      </c>
      <c r="N19" s="89">
        <f t="shared" si="4"/>
        <v>13164.393103448276</v>
      </c>
      <c r="O19" s="90">
        <f t="shared" si="5"/>
        <v>3.000000023574564</v>
      </c>
      <c r="P19" s="61">
        <v>98</v>
      </c>
      <c r="Q19" s="4" t="s">
        <v>435</v>
      </c>
      <c r="R19" s="3">
        <f>264/17520</f>
        <v>0.015068493150684932</v>
      </c>
      <c r="S19" s="12">
        <f>R19*550774</f>
        <v>8299.334246575343</v>
      </c>
      <c r="T19" s="11">
        <v>86</v>
      </c>
      <c r="U19" s="4" t="s">
        <v>435</v>
      </c>
      <c r="V19" s="3">
        <f>264/17520</f>
        <v>0.015068493150684932</v>
      </c>
      <c r="W19" s="12">
        <f t="shared" si="6"/>
        <v>3.0438356164383564</v>
      </c>
      <c r="X19" s="11">
        <v>70</v>
      </c>
      <c r="Y19" s="4" t="s">
        <v>435</v>
      </c>
      <c r="Z19" s="3">
        <f>264/17520</f>
        <v>0.015068493150684932</v>
      </c>
      <c r="AA19" s="13">
        <f>Z19*356861</f>
        <v>5377.357534246576</v>
      </c>
      <c r="AB19" s="106">
        <f t="shared" si="0"/>
        <v>13679.735616438356</v>
      </c>
      <c r="AC19" s="102">
        <f t="shared" si="1"/>
        <v>2.1999998739861963</v>
      </c>
      <c r="AD19" s="113">
        <f t="shared" si="2"/>
        <v>26844.128719886634</v>
      </c>
      <c r="AE19" s="52">
        <f t="shared" si="3"/>
        <v>6.1174401402069885</v>
      </c>
    </row>
    <row r="20" spans="2:31" s="27" customFormat="1" ht="12.75">
      <c r="B20" s="80">
        <v>12</v>
      </c>
      <c r="C20" s="35" t="s">
        <v>544</v>
      </c>
      <c r="D20" s="3" t="s">
        <v>20</v>
      </c>
      <c r="E20" s="39" t="s">
        <v>21</v>
      </c>
      <c r="F20" s="61"/>
      <c r="G20" s="4"/>
      <c r="H20" s="3"/>
      <c r="I20" s="12"/>
      <c r="J20" s="2"/>
      <c r="K20" s="6"/>
      <c r="L20" s="3"/>
      <c r="M20" s="10"/>
      <c r="N20" s="89"/>
      <c r="O20" s="90"/>
      <c r="P20" s="61"/>
      <c r="Q20" s="4"/>
      <c r="R20" s="3"/>
      <c r="S20" s="12"/>
      <c r="T20" s="11">
        <v>22</v>
      </c>
      <c r="U20" s="4" t="s">
        <v>514</v>
      </c>
      <c r="V20" s="3">
        <f>4/2920</f>
        <v>0.0013698630136986301</v>
      </c>
      <c r="W20" s="12">
        <f t="shared" si="6"/>
        <v>0.2767123287671233</v>
      </c>
      <c r="X20" s="11"/>
      <c r="Y20" s="4"/>
      <c r="Z20" s="3"/>
      <c r="AA20" s="13"/>
      <c r="AB20" s="106">
        <f t="shared" si="0"/>
        <v>0.2767123287671233</v>
      </c>
      <c r="AC20" s="102">
        <f t="shared" si="1"/>
        <v>4.450137820547999E-05</v>
      </c>
      <c r="AD20" s="113">
        <f t="shared" si="2"/>
        <v>0.2767123287671233</v>
      </c>
      <c r="AE20" s="52">
        <f t="shared" si="3"/>
        <v>6.305926800433335E-05</v>
      </c>
    </row>
    <row r="21" spans="2:31" s="27" customFormat="1" ht="12.75">
      <c r="B21" s="80">
        <v>13</v>
      </c>
      <c r="C21" s="35" t="s">
        <v>515</v>
      </c>
      <c r="D21" s="3" t="s">
        <v>621</v>
      </c>
      <c r="E21" s="39" t="s">
        <v>464</v>
      </c>
      <c r="F21" s="61"/>
      <c r="G21" s="4"/>
      <c r="H21" s="3"/>
      <c r="I21" s="12"/>
      <c r="J21" s="2"/>
      <c r="K21" s="6"/>
      <c r="L21" s="3"/>
      <c r="M21" s="10"/>
      <c r="N21" s="89"/>
      <c r="O21" s="90"/>
      <c r="P21" s="61"/>
      <c r="Q21" s="4"/>
      <c r="R21" s="3"/>
      <c r="S21" s="12"/>
      <c r="T21" s="11">
        <v>21</v>
      </c>
      <c r="U21" s="4" t="s">
        <v>514</v>
      </c>
      <c r="V21" s="3">
        <f>4/2920</f>
        <v>0.0013698630136986301</v>
      </c>
      <c r="W21" s="12">
        <f t="shared" si="6"/>
        <v>0.2767123287671233</v>
      </c>
      <c r="X21" s="11"/>
      <c r="Y21" s="4"/>
      <c r="Z21" s="3"/>
      <c r="AA21" s="13"/>
      <c r="AB21" s="106">
        <f t="shared" si="0"/>
        <v>0.2767123287671233</v>
      </c>
      <c r="AC21" s="102">
        <f t="shared" si="1"/>
        <v>4.450137820547999E-05</v>
      </c>
      <c r="AD21" s="113">
        <f t="shared" si="2"/>
        <v>0.2767123287671233</v>
      </c>
      <c r="AE21" s="52">
        <f t="shared" si="3"/>
        <v>6.305926800433335E-05</v>
      </c>
    </row>
    <row r="22" spans="2:31" s="27" customFormat="1" ht="12.75">
      <c r="B22" s="80">
        <v>14</v>
      </c>
      <c r="C22" s="35" t="s">
        <v>545</v>
      </c>
      <c r="D22" s="3" t="s">
        <v>193</v>
      </c>
      <c r="E22" s="39" t="s">
        <v>194</v>
      </c>
      <c r="F22" s="61">
        <v>92</v>
      </c>
      <c r="G22" s="4" t="s">
        <v>19</v>
      </c>
      <c r="H22" s="3">
        <f>90/17400</f>
        <v>0.005172413793103448</v>
      </c>
      <c r="I22" s="12">
        <f>H22*204639</f>
        <v>1058.4775862068966</v>
      </c>
      <c r="J22" s="11">
        <v>10</v>
      </c>
      <c r="K22" s="4" t="s">
        <v>19</v>
      </c>
      <c r="L22" s="3">
        <f>90/17400</f>
        <v>0.005172413793103448</v>
      </c>
      <c r="M22" s="10">
        <f>L22*1067919</f>
        <v>5523.7189655172415</v>
      </c>
      <c r="N22" s="89">
        <f t="shared" si="4"/>
        <v>6582.196551724138</v>
      </c>
      <c r="O22" s="90">
        <f t="shared" si="5"/>
        <v>1.500000011787282</v>
      </c>
      <c r="P22" s="61">
        <v>99</v>
      </c>
      <c r="Q22" s="4" t="s">
        <v>432</v>
      </c>
      <c r="R22" s="3">
        <f>4/1752</f>
        <v>0.00228310502283105</v>
      </c>
      <c r="S22" s="12">
        <f>R22*550774</f>
        <v>1257.4748858447488</v>
      </c>
      <c r="T22" s="11">
        <v>87</v>
      </c>
      <c r="U22" s="4" t="s">
        <v>432</v>
      </c>
      <c r="V22" s="3">
        <f>4/1752</f>
        <v>0.00228310502283105</v>
      </c>
      <c r="W22" s="12">
        <f t="shared" si="6"/>
        <v>0.4611872146118721</v>
      </c>
      <c r="X22" s="11">
        <v>71</v>
      </c>
      <c r="Y22" s="4" t="s">
        <v>432</v>
      </c>
      <c r="Z22" s="3">
        <f>4/1752</f>
        <v>0.00228310502283105</v>
      </c>
      <c r="AA22" s="13">
        <f>Z22*356861</f>
        <v>814.7511415525114</v>
      </c>
      <c r="AB22" s="106">
        <f t="shared" si="0"/>
        <v>2072.687214611872</v>
      </c>
      <c r="AC22" s="102">
        <f t="shared" si="1"/>
        <v>0.3333333142403328</v>
      </c>
      <c r="AD22" s="113">
        <f t="shared" si="2"/>
        <v>8654.88376633601</v>
      </c>
      <c r="AE22" s="52">
        <f t="shared" si="3"/>
        <v>1.9723394233982552</v>
      </c>
    </row>
    <row r="23" spans="2:31" s="27" customFormat="1" ht="12.75">
      <c r="B23" s="80">
        <v>15</v>
      </c>
      <c r="C23" s="35" t="s">
        <v>283</v>
      </c>
      <c r="D23" s="3" t="s">
        <v>20</v>
      </c>
      <c r="E23" s="39" t="s">
        <v>284</v>
      </c>
      <c r="F23" s="61">
        <v>132</v>
      </c>
      <c r="G23" s="4" t="s">
        <v>31</v>
      </c>
      <c r="H23" s="14">
        <f>420/17400</f>
        <v>0.02413793103448276</v>
      </c>
      <c r="I23" s="12">
        <f>H23*204639</f>
        <v>4939.562068965517</v>
      </c>
      <c r="J23" s="11"/>
      <c r="K23" s="4"/>
      <c r="L23" s="3"/>
      <c r="M23" s="10"/>
      <c r="N23" s="89">
        <f t="shared" si="4"/>
        <v>4939.562068965517</v>
      </c>
      <c r="O23" s="90">
        <f t="shared" si="5"/>
        <v>1.1256642221860553</v>
      </c>
      <c r="P23" s="61"/>
      <c r="Q23" s="4"/>
      <c r="R23" s="3"/>
      <c r="S23" s="12"/>
      <c r="T23" s="11">
        <v>20</v>
      </c>
      <c r="U23" s="4" t="s">
        <v>514</v>
      </c>
      <c r="V23" s="3">
        <f>4/4920</f>
        <v>0.0008130081300813008</v>
      </c>
      <c r="W23" s="12">
        <f t="shared" si="6"/>
        <v>0.16422764227642275</v>
      </c>
      <c r="X23" s="11"/>
      <c r="Y23" s="4"/>
      <c r="Z23" s="14"/>
      <c r="AA23" s="13"/>
      <c r="AB23" s="106">
        <f t="shared" si="0"/>
        <v>0.16422764227642275</v>
      </c>
      <c r="AC23" s="102">
        <f t="shared" si="1"/>
        <v>2.6411387065040967E-05</v>
      </c>
      <c r="AD23" s="113">
        <f t="shared" si="2"/>
        <v>4939.726296607793</v>
      </c>
      <c r="AE23" s="52">
        <f t="shared" si="3"/>
        <v>1.1257016476052772</v>
      </c>
    </row>
    <row r="24" spans="2:31" s="27" customFormat="1" ht="12.75">
      <c r="B24" s="80">
        <v>16</v>
      </c>
      <c r="C24" s="35" t="s">
        <v>239</v>
      </c>
      <c r="D24" s="3" t="s">
        <v>240</v>
      </c>
      <c r="E24" s="39" t="s">
        <v>241</v>
      </c>
      <c r="F24" s="61">
        <v>114</v>
      </c>
      <c r="G24" s="4" t="s">
        <v>242</v>
      </c>
      <c r="H24" s="14">
        <f>435/69600</f>
        <v>0.00625</v>
      </c>
      <c r="I24" s="12">
        <f>H24*204639</f>
        <v>1278.99375</v>
      </c>
      <c r="J24" s="11"/>
      <c r="K24" s="4"/>
      <c r="L24" s="3"/>
      <c r="M24" s="10"/>
      <c r="N24" s="89">
        <f t="shared" si="4"/>
        <v>1278.99375</v>
      </c>
      <c r="O24" s="90">
        <f t="shared" si="5"/>
        <v>0.2914666289588893</v>
      </c>
      <c r="P24" s="61">
        <v>65</v>
      </c>
      <c r="Q24" s="4" t="s">
        <v>387</v>
      </c>
      <c r="R24" s="3">
        <f>70/11680</f>
        <v>0.0059931506849315065</v>
      </c>
      <c r="S24" s="12">
        <f>R24*550774</f>
        <v>3300.8715753424653</v>
      </c>
      <c r="T24" s="11">
        <v>57</v>
      </c>
      <c r="U24" s="4" t="s">
        <v>387</v>
      </c>
      <c r="V24" s="3">
        <f>70/11680</f>
        <v>0.0059931506849315065</v>
      </c>
      <c r="W24" s="12">
        <f t="shared" si="6"/>
        <v>1.2106164383561644</v>
      </c>
      <c r="X24" s="11">
        <v>39</v>
      </c>
      <c r="Y24" s="4" t="s">
        <v>387</v>
      </c>
      <c r="Z24" s="3">
        <f>70/11680</f>
        <v>0.0059931506849315065</v>
      </c>
      <c r="AA24" s="13">
        <f aca="true" t="shared" si="7" ref="AA24:AA32">Z24*356861</f>
        <v>2138.7217465753424</v>
      </c>
      <c r="AB24" s="106">
        <f t="shared" si="0"/>
        <v>5440.8039383561645</v>
      </c>
      <c r="AC24" s="102">
        <f t="shared" si="1"/>
        <v>0.8749999498808736</v>
      </c>
      <c r="AD24" s="113">
        <f t="shared" si="2"/>
        <v>6719.797688356164</v>
      </c>
      <c r="AE24" s="52">
        <f t="shared" si="3"/>
        <v>1.5313575844376943</v>
      </c>
    </row>
    <row r="25" spans="2:31" s="27" customFormat="1" ht="12.75">
      <c r="B25" s="80">
        <v>17</v>
      </c>
      <c r="C25" s="35" t="s">
        <v>546</v>
      </c>
      <c r="D25" s="3" t="s">
        <v>26</v>
      </c>
      <c r="E25" s="39" t="s">
        <v>27</v>
      </c>
      <c r="F25" s="61">
        <v>7</v>
      </c>
      <c r="G25" s="4" t="s">
        <v>28</v>
      </c>
      <c r="H25" s="3">
        <f>345/17400</f>
        <v>0.019827586206896553</v>
      </c>
      <c r="I25" s="12">
        <f>H25*204639</f>
        <v>4057.4974137931035</v>
      </c>
      <c r="J25" s="11">
        <v>11</v>
      </c>
      <c r="K25" s="4" t="s">
        <v>28</v>
      </c>
      <c r="L25" s="3">
        <f>345/17400</f>
        <v>0.019827586206896553</v>
      </c>
      <c r="M25" s="10">
        <f>L25*1067919</f>
        <v>21174.25603448276</v>
      </c>
      <c r="N25" s="89">
        <f t="shared" si="4"/>
        <v>25231.753448275864</v>
      </c>
      <c r="O25" s="90">
        <f t="shared" si="5"/>
        <v>5.750000045184581</v>
      </c>
      <c r="P25" s="61">
        <v>100</v>
      </c>
      <c r="Q25" s="4" t="s">
        <v>362</v>
      </c>
      <c r="R25" s="3">
        <f>2/584</f>
        <v>0.003424657534246575</v>
      </c>
      <c r="S25" s="12">
        <f>R25*550774</f>
        <v>1886.2123287671232</v>
      </c>
      <c r="T25" s="11">
        <v>88</v>
      </c>
      <c r="U25" s="4" t="s">
        <v>362</v>
      </c>
      <c r="V25" s="3">
        <f>2/584</f>
        <v>0.003424657534246575</v>
      </c>
      <c r="W25" s="12">
        <f t="shared" si="6"/>
        <v>0.6917808219178082</v>
      </c>
      <c r="X25" s="11">
        <v>72</v>
      </c>
      <c r="Y25" s="4" t="s">
        <v>362</v>
      </c>
      <c r="Z25" s="3">
        <f>2/584</f>
        <v>0.003424657534246575</v>
      </c>
      <c r="AA25" s="13">
        <f t="shared" si="7"/>
        <v>1222.126712328767</v>
      </c>
      <c r="AB25" s="106">
        <f t="shared" si="0"/>
        <v>3109.0308219178078</v>
      </c>
      <c r="AC25" s="102">
        <f t="shared" si="1"/>
        <v>0.4999999713604991</v>
      </c>
      <c r="AD25" s="113">
        <f t="shared" si="2"/>
        <v>28340.784270193675</v>
      </c>
      <c r="AE25" s="52">
        <f t="shared" si="3"/>
        <v>6.458509162601042</v>
      </c>
    </row>
    <row r="26" spans="2:31" s="27" customFormat="1" ht="12.75">
      <c r="B26" s="80">
        <v>18</v>
      </c>
      <c r="C26" s="35" t="s">
        <v>546</v>
      </c>
      <c r="D26" s="3" t="s">
        <v>26</v>
      </c>
      <c r="E26" s="39" t="s">
        <v>27</v>
      </c>
      <c r="F26" s="61"/>
      <c r="G26" s="4"/>
      <c r="H26" s="3"/>
      <c r="I26" s="12"/>
      <c r="J26" s="2"/>
      <c r="K26" s="6"/>
      <c r="L26" s="3"/>
      <c r="M26" s="10"/>
      <c r="N26" s="89"/>
      <c r="O26" s="90"/>
      <c r="P26" s="61"/>
      <c r="Q26" s="4"/>
      <c r="R26" s="3"/>
      <c r="S26" s="12"/>
      <c r="T26" s="11"/>
      <c r="U26" s="4"/>
      <c r="V26" s="3"/>
      <c r="W26" s="12"/>
      <c r="X26" s="11">
        <v>117</v>
      </c>
      <c r="Y26" s="4" t="s">
        <v>455</v>
      </c>
      <c r="Z26" s="3">
        <f>60/17520</f>
        <v>0.003424657534246575</v>
      </c>
      <c r="AA26" s="13">
        <f t="shared" si="7"/>
        <v>1222.126712328767</v>
      </c>
      <c r="AB26" s="106">
        <f t="shared" si="0"/>
        <v>1222.126712328767</v>
      </c>
      <c r="AC26" s="102">
        <f t="shared" si="1"/>
        <v>0.19654463276962614</v>
      </c>
      <c r="AD26" s="113">
        <f t="shared" si="2"/>
        <v>1222.126712328767</v>
      </c>
      <c r="AE26" s="52">
        <f t="shared" si="3"/>
        <v>0.2785073445457228</v>
      </c>
    </row>
    <row r="27" spans="2:31" s="27" customFormat="1" ht="12.75">
      <c r="B27" s="80">
        <v>19</v>
      </c>
      <c r="C27" s="35" t="s">
        <v>547</v>
      </c>
      <c r="D27" s="3" t="s">
        <v>29</v>
      </c>
      <c r="E27" s="39" t="s">
        <v>30</v>
      </c>
      <c r="F27" s="61">
        <v>8</v>
      </c>
      <c r="G27" s="4" t="s">
        <v>31</v>
      </c>
      <c r="H27" s="14">
        <f>420/17400</f>
        <v>0.02413793103448276</v>
      </c>
      <c r="I27" s="12">
        <f>H27*204639</f>
        <v>4939.562068965517</v>
      </c>
      <c r="J27" s="11">
        <v>12</v>
      </c>
      <c r="K27" s="4" t="s">
        <v>31</v>
      </c>
      <c r="L27" s="14">
        <f>420/17400</f>
        <v>0.02413793103448276</v>
      </c>
      <c r="M27" s="10">
        <f>L27*1067919</f>
        <v>25777.355172413794</v>
      </c>
      <c r="N27" s="89">
        <f t="shared" si="4"/>
        <v>30716.917241379313</v>
      </c>
      <c r="O27" s="90">
        <f t="shared" si="5"/>
        <v>7.000000055007317</v>
      </c>
      <c r="P27" s="61">
        <v>101</v>
      </c>
      <c r="Q27" s="4" t="s">
        <v>436</v>
      </c>
      <c r="R27" s="14">
        <f>205/17520</f>
        <v>0.011700913242009132</v>
      </c>
      <c r="S27" s="12">
        <f aca="true" t="shared" si="8" ref="S27:S33">R27*550774</f>
        <v>6444.558789954338</v>
      </c>
      <c r="T27" s="11">
        <v>89</v>
      </c>
      <c r="U27" s="4" t="s">
        <v>436</v>
      </c>
      <c r="V27" s="14">
        <f>205/17520</f>
        <v>0.011700913242009132</v>
      </c>
      <c r="W27" s="12">
        <f>V27*202</f>
        <v>2.3635844748858448</v>
      </c>
      <c r="X27" s="11">
        <v>73</v>
      </c>
      <c r="Y27" s="4" t="s">
        <v>436</v>
      </c>
      <c r="Z27" s="3">
        <f>205/17520</f>
        <v>0.011700913242009132</v>
      </c>
      <c r="AA27" s="13">
        <f t="shared" si="7"/>
        <v>4175.5996004566205</v>
      </c>
      <c r="AB27" s="106">
        <f t="shared" si="0"/>
        <v>10622.521974885844</v>
      </c>
      <c r="AC27" s="102">
        <f t="shared" si="1"/>
        <v>1.7083332354817053</v>
      </c>
      <c r="AD27" s="113">
        <f t="shared" si="2"/>
        <v>41339.43921626516</v>
      </c>
      <c r="AE27" s="52">
        <f t="shared" si="3"/>
        <v>9.420739539513555</v>
      </c>
    </row>
    <row r="28" spans="2:31" s="27" customFormat="1" ht="12.75">
      <c r="B28" s="80">
        <v>20</v>
      </c>
      <c r="C28" s="35" t="s">
        <v>548</v>
      </c>
      <c r="D28" s="3" t="s">
        <v>29</v>
      </c>
      <c r="E28" s="39" t="s">
        <v>30</v>
      </c>
      <c r="F28" s="61"/>
      <c r="G28" s="4"/>
      <c r="H28" s="3"/>
      <c r="I28" s="12"/>
      <c r="J28" s="2"/>
      <c r="K28" s="6"/>
      <c r="L28" s="3"/>
      <c r="M28" s="10"/>
      <c r="N28" s="89"/>
      <c r="O28" s="90"/>
      <c r="P28" s="61">
        <v>104</v>
      </c>
      <c r="Q28" s="4" t="s">
        <v>437</v>
      </c>
      <c r="R28" s="3">
        <f>195/17520</f>
        <v>0.01113013698630137</v>
      </c>
      <c r="S28" s="12">
        <f t="shared" si="8"/>
        <v>6130.190068493151</v>
      </c>
      <c r="T28" s="11"/>
      <c r="U28" s="4"/>
      <c r="V28" s="3"/>
      <c r="W28" s="12"/>
      <c r="X28" s="11">
        <v>75</v>
      </c>
      <c r="Y28" s="4" t="s">
        <v>437</v>
      </c>
      <c r="Z28" s="14">
        <f>195/17520</f>
        <v>0.01113013698630137</v>
      </c>
      <c r="AA28" s="13">
        <f t="shared" si="7"/>
        <v>3971.911815068493</v>
      </c>
      <c r="AB28" s="106">
        <f t="shared" si="0"/>
        <v>10102.101883561643</v>
      </c>
      <c r="AC28" s="102">
        <f t="shared" si="1"/>
        <v>1.6246383332237027</v>
      </c>
      <c r="AD28" s="113">
        <f t="shared" si="2"/>
        <v>10102.101883561643</v>
      </c>
      <c r="AE28" s="52">
        <f t="shared" si="3"/>
        <v>2.3021422750509597</v>
      </c>
    </row>
    <row r="29" spans="2:31" s="27" customFormat="1" ht="12.75">
      <c r="B29" s="80">
        <v>21</v>
      </c>
      <c r="C29" s="35" t="s">
        <v>388</v>
      </c>
      <c r="D29" s="3" t="s">
        <v>389</v>
      </c>
      <c r="E29" s="39" t="s">
        <v>391</v>
      </c>
      <c r="F29" s="61"/>
      <c r="G29" s="4"/>
      <c r="H29" s="14"/>
      <c r="I29" s="12"/>
      <c r="J29" s="11"/>
      <c r="K29" s="4"/>
      <c r="L29" s="3"/>
      <c r="M29" s="10"/>
      <c r="N29" s="89"/>
      <c r="O29" s="90"/>
      <c r="P29" s="61">
        <v>71</v>
      </c>
      <c r="Q29" s="4" t="s">
        <v>362</v>
      </c>
      <c r="R29" s="3">
        <f>2/584</f>
        <v>0.003424657534246575</v>
      </c>
      <c r="S29" s="12">
        <f t="shared" si="8"/>
        <v>1886.2123287671232</v>
      </c>
      <c r="T29" s="11">
        <v>63</v>
      </c>
      <c r="U29" s="6" t="s">
        <v>362</v>
      </c>
      <c r="V29" s="3">
        <f>2/584</f>
        <v>0.003424657534246575</v>
      </c>
      <c r="W29" s="12">
        <f aca="true" t="shared" si="9" ref="W29:W37">V29*202</f>
        <v>0.6917808219178082</v>
      </c>
      <c r="X29" s="11">
        <v>45</v>
      </c>
      <c r="Y29" s="4" t="s">
        <v>362</v>
      </c>
      <c r="Z29" s="3">
        <f>2/584</f>
        <v>0.003424657534246575</v>
      </c>
      <c r="AA29" s="13">
        <f t="shared" si="7"/>
        <v>1222.126712328767</v>
      </c>
      <c r="AB29" s="106">
        <f t="shared" si="0"/>
        <v>3109.0308219178078</v>
      </c>
      <c r="AC29" s="102">
        <f t="shared" si="1"/>
        <v>0.4999999713604991</v>
      </c>
      <c r="AD29" s="113">
        <f t="shared" si="2"/>
        <v>3109.0308219178078</v>
      </c>
      <c r="AE29" s="52">
        <f t="shared" si="3"/>
        <v>0.7085091174164599</v>
      </c>
    </row>
    <row r="30" spans="2:31" s="27" customFormat="1" ht="12.75">
      <c r="B30" s="80">
        <v>22</v>
      </c>
      <c r="C30" s="35" t="s">
        <v>392</v>
      </c>
      <c r="D30" s="3" t="s">
        <v>393</v>
      </c>
      <c r="E30" s="39" t="s">
        <v>395</v>
      </c>
      <c r="F30" s="61"/>
      <c r="G30" s="4"/>
      <c r="H30" s="14"/>
      <c r="I30" s="12"/>
      <c r="J30" s="11"/>
      <c r="K30" s="4"/>
      <c r="L30" s="3"/>
      <c r="M30" s="10"/>
      <c r="N30" s="89"/>
      <c r="O30" s="90"/>
      <c r="P30" s="61">
        <v>72</v>
      </c>
      <c r="Q30" s="4" t="s">
        <v>362</v>
      </c>
      <c r="R30" s="3">
        <f>2/584</f>
        <v>0.003424657534246575</v>
      </c>
      <c r="S30" s="12">
        <f t="shared" si="8"/>
        <v>1886.2123287671232</v>
      </c>
      <c r="T30" s="11">
        <v>64</v>
      </c>
      <c r="U30" s="6" t="s">
        <v>362</v>
      </c>
      <c r="V30" s="3">
        <f>2/584</f>
        <v>0.003424657534246575</v>
      </c>
      <c r="W30" s="12">
        <f t="shared" si="9"/>
        <v>0.6917808219178082</v>
      </c>
      <c r="X30" s="11">
        <v>46</v>
      </c>
      <c r="Y30" s="4" t="s">
        <v>362</v>
      </c>
      <c r="Z30" s="3">
        <f>2/584</f>
        <v>0.003424657534246575</v>
      </c>
      <c r="AA30" s="13">
        <f t="shared" si="7"/>
        <v>1222.126712328767</v>
      </c>
      <c r="AB30" s="106">
        <f t="shared" si="0"/>
        <v>3109.0308219178078</v>
      </c>
      <c r="AC30" s="102">
        <f t="shared" si="1"/>
        <v>0.4999999713604991</v>
      </c>
      <c r="AD30" s="113">
        <f t="shared" si="2"/>
        <v>3109.0308219178078</v>
      </c>
      <c r="AE30" s="52">
        <f t="shared" si="3"/>
        <v>0.7085091174164599</v>
      </c>
    </row>
    <row r="31" spans="2:31" s="27" customFormat="1" ht="12.75">
      <c r="B31" s="80">
        <v>23</v>
      </c>
      <c r="C31" s="35" t="s">
        <v>549</v>
      </c>
      <c r="D31" s="3" t="s">
        <v>32</v>
      </c>
      <c r="E31" s="39" t="s">
        <v>33</v>
      </c>
      <c r="F31" s="61">
        <v>9</v>
      </c>
      <c r="G31" s="4" t="s">
        <v>34</v>
      </c>
      <c r="H31" s="3">
        <f>120/17400</f>
        <v>0.006896551724137931</v>
      </c>
      <c r="I31" s="12">
        <f>H31*204639</f>
        <v>1411.3034482758621</v>
      </c>
      <c r="J31" s="11">
        <v>13</v>
      </c>
      <c r="K31" s="4" t="s">
        <v>34</v>
      </c>
      <c r="L31" s="3">
        <f>120/17400</f>
        <v>0.006896551724137931</v>
      </c>
      <c r="M31" s="10">
        <f>L31*1067919</f>
        <v>7364.958620689655</v>
      </c>
      <c r="N31" s="89">
        <f t="shared" si="4"/>
        <v>8776.262068965516</v>
      </c>
      <c r="O31" s="90">
        <f t="shared" si="5"/>
        <v>2.0000000157163758</v>
      </c>
      <c r="P31" s="61">
        <v>87</v>
      </c>
      <c r="Q31" s="4" t="s">
        <v>424</v>
      </c>
      <c r="R31" s="3">
        <f>2/10512</f>
        <v>0.0001902587519025875</v>
      </c>
      <c r="S31" s="12">
        <f t="shared" si="8"/>
        <v>104.78957382039573</v>
      </c>
      <c r="T31" s="11">
        <v>78</v>
      </c>
      <c r="U31" s="4" t="s">
        <v>424</v>
      </c>
      <c r="V31" s="3">
        <f>2/10512</f>
        <v>0.0001902587519025875</v>
      </c>
      <c r="W31" s="12">
        <f t="shared" si="9"/>
        <v>0.03843226788432268</v>
      </c>
      <c r="X31" s="11">
        <v>60</v>
      </c>
      <c r="Y31" s="4" t="s">
        <v>424</v>
      </c>
      <c r="Z31" s="3">
        <f>2/10512</f>
        <v>0.0001902587519025875</v>
      </c>
      <c r="AA31" s="13">
        <f t="shared" si="7"/>
        <v>67.89592846270928</v>
      </c>
      <c r="AB31" s="106">
        <f t="shared" si="0"/>
        <v>172.72393455098933</v>
      </c>
      <c r="AC31" s="102">
        <f t="shared" si="1"/>
        <v>0.027777776186694397</v>
      </c>
      <c r="AD31" s="113">
        <f t="shared" si="2"/>
        <v>8948.986003516504</v>
      </c>
      <c r="AE31" s="52">
        <f t="shared" si="3"/>
        <v>2.039361633350623</v>
      </c>
    </row>
    <row r="32" spans="2:31" s="27" customFormat="1" ht="12.75">
      <c r="B32" s="80">
        <v>24</v>
      </c>
      <c r="C32" s="35" t="s">
        <v>549</v>
      </c>
      <c r="D32" s="3" t="s">
        <v>32</v>
      </c>
      <c r="E32" s="39" t="s">
        <v>33</v>
      </c>
      <c r="F32" s="61"/>
      <c r="G32" s="4"/>
      <c r="H32" s="3"/>
      <c r="I32" s="12"/>
      <c r="J32" s="2"/>
      <c r="K32" s="6"/>
      <c r="L32" s="3"/>
      <c r="M32" s="10"/>
      <c r="N32" s="89"/>
      <c r="O32" s="90"/>
      <c r="P32" s="61">
        <v>102</v>
      </c>
      <c r="Q32" s="4" t="s">
        <v>357</v>
      </c>
      <c r="R32" s="3">
        <f>8/584</f>
        <v>0.0136986301369863</v>
      </c>
      <c r="S32" s="12">
        <f t="shared" si="8"/>
        <v>7544.849315068493</v>
      </c>
      <c r="T32" s="11">
        <v>90</v>
      </c>
      <c r="U32" s="4" t="s">
        <v>357</v>
      </c>
      <c r="V32" s="14">
        <f>8/584</f>
        <v>0.0136986301369863</v>
      </c>
      <c r="W32" s="12">
        <f t="shared" si="9"/>
        <v>2.767123287671233</v>
      </c>
      <c r="X32" s="11">
        <v>74</v>
      </c>
      <c r="Y32" s="4" t="s">
        <v>357</v>
      </c>
      <c r="Z32" s="14">
        <f>8/584</f>
        <v>0.0136986301369863</v>
      </c>
      <c r="AA32" s="13">
        <f t="shared" si="7"/>
        <v>4888.506849315068</v>
      </c>
      <c r="AB32" s="106">
        <f t="shared" si="0"/>
        <v>12436.123287671231</v>
      </c>
      <c r="AC32" s="102">
        <f t="shared" si="1"/>
        <v>1.9999998854419965</v>
      </c>
      <c r="AD32" s="113">
        <f t="shared" si="2"/>
        <v>12436.123287671231</v>
      </c>
      <c r="AE32" s="52">
        <f t="shared" si="3"/>
        <v>2.8340364696658398</v>
      </c>
    </row>
    <row r="33" spans="2:31" s="27" customFormat="1" ht="12.75">
      <c r="B33" s="80">
        <v>25</v>
      </c>
      <c r="C33" s="35" t="s">
        <v>458</v>
      </c>
      <c r="D33" s="3" t="s">
        <v>26</v>
      </c>
      <c r="E33" s="39" t="s">
        <v>525</v>
      </c>
      <c r="F33" s="61"/>
      <c r="G33" s="4"/>
      <c r="H33" s="3"/>
      <c r="I33" s="12"/>
      <c r="J33" s="2"/>
      <c r="K33" s="6"/>
      <c r="L33" s="3"/>
      <c r="M33" s="10"/>
      <c r="N33" s="89"/>
      <c r="O33" s="90"/>
      <c r="P33" s="61">
        <v>156</v>
      </c>
      <c r="Q33" s="4" t="s">
        <v>455</v>
      </c>
      <c r="R33" s="3">
        <f>60/17520</f>
        <v>0.003424657534246575</v>
      </c>
      <c r="S33" s="12">
        <f t="shared" si="8"/>
        <v>1886.2123287671232</v>
      </c>
      <c r="T33" s="11">
        <v>145</v>
      </c>
      <c r="U33" s="4" t="s">
        <v>455</v>
      </c>
      <c r="V33" s="3">
        <f>60/17520</f>
        <v>0.003424657534246575</v>
      </c>
      <c r="W33" s="12">
        <f t="shared" si="9"/>
        <v>0.6917808219178082</v>
      </c>
      <c r="X33" s="11"/>
      <c r="Y33" s="4"/>
      <c r="Z33" s="3"/>
      <c r="AA33" s="13"/>
      <c r="AB33" s="106">
        <f t="shared" si="0"/>
        <v>1886.904109589041</v>
      </c>
      <c r="AC33" s="102">
        <f t="shared" si="1"/>
        <v>0.303455338590873</v>
      </c>
      <c r="AD33" s="113">
        <f t="shared" si="2"/>
        <v>1886.904109589041</v>
      </c>
      <c r="AE33" s="52">
        <f t="shared" si="3"/>
        <v>0.43000177287073715</v>
      </c>
    </row>
    <row r="34" spans="2:31" s="27" customFormat="1" ht="12.75">
      <c r="B34" s="80">
        <v>26</v>
      </c>
      <c r="C34" s="35" t="s">
        <v>458</v>
      </c>
      <c r="D34" s="3" t="s">
        <v>26</v>
      </c>
      <c r="E34" s="39" t="s">
        <v>525</v>
      </c>
      <c r="F34" s="61"/>
      <c r="G34" s="4"/>
      <c r="H34" s="3"/>
      <c r="I34" s="12"/>
      <c r="J34" s="2"/>
      <c r="K34" s="6"/>
      <c r="L34" s="3"/>
      <c r="M34" s="10"/>
      <c r="N34" s="89"/>
      <c r="O34" s="90"/>
      <c r="P34" s="61"/>
      <c r="Q34" s="4"/>
      <c r="R34" s="3"/>
      <c r="S34" s="12"/>
      <c r="T34" s="11">
        <v>91</v>
      </c>
      <c r="U34" s="4" t="s">
        <v>356</v>
      </c>
      <c r="V34" s="3">
        <f>4/584</f>
        <v>0.00684931506849315</v>
      </c>
      <c r="W34" s="12">
        <f t="shared" si="9"/>
        <v>1.3835616438356164</v>
      </c>
      <c r="X34" s="11"/>
      <c r="Y34" s="4"/>
      <c r="Z34" s="3"/>
      <c r="AA34" s="13"/>
      <c r="AB34" s="106">
        <f t="shared" si="0"/>
        <v>1.3835616438356164</v>
      </c>
      <c r="AC34" s="102">
        <f t="shared" si="1"/>
        <v>0.00022250689102739992</v>
      </c>
      <c r="AD34" s="113">
        <f t="shared" si="2"/>
        <v>1.3835616438356164</v>
      </c>
      <c r="AE34" s="52">
        <f t="shared" si="3"/>
        <v>0.0003152963400216667</v>
      </c>
    </row>
    <row r="35" spans="2:31" s="27" customFormat="1" ht="12.75">
      <c r="B35" s="80">
        <v>27</v>
      </c>
      <c r="C35" s="35" t="s">
        <v>458</v>
      </c>
      <c r="D35" s="3" t="s">
        <v>26</v>
      </c>
      <c r="E35" s="39" t="s">
        <v>525</v>
      </c>
      <c r="F35" s="61"/>
      <c r="G35" s="4"/>
      <c r="H35" s="3"/>
      <c r="I35" s="12"/>
      <c r="J35" s="2"/>
      <c r="K35" s="6"/>
      <c r="L35" s="3"/>
      <c r="M35" s="10"/>
      <c r="N35" s="89"/>
      <c r="O35" s="90"/>
      <c r="P35" s="61"/>
      <c r="Q35" s="3"/>
      <c r="R35" s="3"/>
      <c r="S35" s="12"/>
      <c r="T35" s="11">
        <v>92</v>
      </c>
      <c r="U35" s="4" t="s">
        <v>437</v>
      </c>
      <c r="V35" s="3">
        <f>195/17520</f>
        <v>0.01113013698630137</v>
      </c>
      <c r="W35" s="12">
        <f t="shared" si="9"/>
        <v>2.2482876712328768</v>
      </c>
      <c r="X35" s="11"/>
      <c r="Y35" s="3"/>
      <c r="Z35" s="1"/>
      <c r="AA35" s="13"/>
      <c r="AB35" s="106">
        <f t="shared" si="0"/>
        <v>2.2482876712328768</v>
      </c>
      <c r="AC35" s="102">
        <f t="shared" si="1"/>
        <v>0.00036157369791952487</v>
      </c>
      <c r="AD35" s="113">
        <f t="shared" si="2"/>
        <v>2.2482876712328768</v>
      </c>
      <c r="AE35" s="52">
        <f t="shared" si="3"/>
        <v>0.0005123565525352084</v>
      </c>
    </row>
    <row r="36" spans="2:31" s="27" customFormat="1" ht="12.75">
      <c r="B36" s="80">
        <v>28</v>
      </c>
      <c r="C36" s="35" t="s">
        <v>482</v>
      </c>
      <c r="D36" s="3" t="s">
        <v>483</v>
      </c>
      <c r="E36" s="39" t="s">
        <v>484</v>
      </c>
      <c r="F36" s="61"/>
      <c r="G36" s="4"/>
      <c r="H36" s="3"/>
      <c r="I36" s="12"/>
      <c r="J36" s="2"/>
      <c r="K36" s="6"/>
      <c r="L36" s="3"/>
      <c r="M36" s="10"/>
      <c r="N36" s="89"/>
      <c r="O36" s="90"/>
      <c r="P36" s="61">
        <v>180</v>
      </c>
      <c r="Q36" s="4" t="s">
        <v>485</v>
      </c>
      <c r="R36" s="3">
        <f>13/1168</f>
        <v>0.01113013698630137</v>
      </c>
      <c r="S36" s="12">
        <f>R36*550774</f>
        <v>6130.190068493151</v>
      </c>
      <c r="T36" s="11">
        <v>167</v>
      </c>
      <c r="U36" s="4" t="s">
        <v>485</v>
      </c>
      <c r="V36" s="3">
        <f>13/1168</f>
        <v>0.01113013698630137</v>
      </c>
      <c r="W36" s="12">
        <f t="shared" si="9"/>
        <v>2.2482876712328768</v>
      </c>
      <c r="X36" s="11">
        <v>141</v>
      </c>
      <c r="Y36" s="4" t="s">
        <v>485</v>
      </c>
      <c r="Z36" s="3">
        <f>13/1168</f>
        <v>0.01113013698630137</v>
      </c>
      <c r="AA36" s="13">
        <f>Z36*356861</f>
        <v>3971.911815068493</v>
      </c>
      <c r="AB36" s="106">
        <f t="shared" si="0"/>
        <v>10104.350171232876</v>
      </c>
      <c r="AC36" s="102">
        <f t="shared" si="1"/>
        <v>1.6249999069216223</v>
      </c>
      <c r="AD36" s="113">
        <f t="shared" si="2"/>
        <v>10104.350171232876</v>
      </c>
      <c r="AE36" s="52">
        <f t="shared" si="3"/>
        <v>2.302654631603495</v>
      </c>
    </row>
    <row r="37" spans="2:31" s="27" customFormat="1" ht="12.75">
      <c r="B37" s="80">
        <v>29</v>
      </c>
      <c r="C37" s="35" t="s">
        <v>372</v>
      </c>
      <c r="D37" s="3"/>
      <c r="E37" s="39" t="s">
        <v>373</v>
      </c>
      <c r="F37" s="61"/>
      <c r="G37" s="4"/>
      <c r="H37" s="14"/>
      <c r="I37" s="12"/>
      <c r="J37" s="11"/>
      <c r="K37" s="4"/>
      <c r="L37" s="14"/>
      <c r="M37" s="10"/>
      <c r="N37" s="89"/>
      <c r="O37" s="90"/>
      <c r="P37" s="61">
        <v>42</v>
      </c>
      <c r="Q37" s="4" t="s">
        <v>371</v>
      </c>
      <c r="R37" s="3">
        <f>1/1533</f>
        <v>0.0006523157208088715</v>
      </c>
      <c r="S37" s="12">
        <f>R37*550774</f>
        <v>359.27853881278537</v>
      </c>
      <c r="T37" s="11">
        <v>35</v>
      </c>
      <c r="U37" s="4" t="s">
        <v>371</v>
      </c>
      <c r="V37" s="3">
        <f>1/1533</f>
        <v>0.0006523157208088715</v>
      </c>
      <c r="W37" s="12">
        <f t="shared" si="9"/>
        <v>0.13176777560339203</v>
      </c>
      <c r="X37" s="11">
        <v>18</v>
      </c>
      <c r="Y37" s="4" t="s">
        <v>371</v>
      </c>
      <c r="Z37" s="3">
        <f>1/1533</f>
        <v>0.0006523157208088715</v>
      </c>
      <c r="AA37" s="13">
        <f>Z37*356861</f>
        <v>232.78604044357468</v>
      </c>
      <c r="AB37" s="106">
        <f t="shared" si="0"/>
        <v>592.1963470319635</v>
      </c>
      <c r="AC37" s="102">
        <f t="shared" si="1"/>
        <v>0.09523808978295223</v>
      </c>
      <c r="AD37" s="113">
        <f t="shared" si="2"/>
        <v>592.1963470319635</v>
      </c>
      <c r="AE37" s="52">
        <f t="shared" si="3"/>
        <v>0.13495411760313522</v>
      </c>
    </row>
    <row r="38" spans="2:31" s="27" customFormat="1" ht="12.75">
      <c r="B38" s="80">
        <v>30</v>
      </c>
      <c r="C38" s="35" t="s">
        <v>295</v>
      </c>
      <c r="D38" s="3" t="s">
        <v>296</v>
      </c>
      <c r="E38" s="39" t="s">
        <v>297</v>
      </c>
      <c r="F38" s="61"/>
      <c r="G38" s="4"/>
      <c r="H38" s="14"/>
      <c r="I38" s="12"/>
      <c r="J38" s="11">
        <v>14</v>
      </c>
      <c r="K38" s="4" t="s">
        <v>52</v>
      </c>
      <c r="L38" s="3">
        <f>270/17400</f>
        <v>0.015517241379310345</v>
      </c>
      <c r="M38" s="10">
        <f>L38*1067919</f>
        <v>16571.156896551725</v>
      </c>
      <c r="N38" s="89">
        <f t="shared" si="4"/>
        <v>16571.156896551725</v>
      </c>
      <c r="O38" s="90">
        <f t="shared" si="5"/>
        <v>3.776358749670811</v>
      </c>
      <c r="P38" s="61"/>
      <c r="Q38" s="4"/>
      <c r="R38" s="3"/>
      <c r="S38" s="12"/>
      <c r="T38" s="11"/>
      <c r="U38" s="4"/>
      <c r="V38" s="3"/>
      <c r="W38" s="12"/>
      <c r="X38" s="11"/>
      <c r="Y38" s="4"/>
      <c r="Z38" s="3"/>
      <c r="AA38" s="13"/>
      <c r="AB38" s="106"/>
      <c r="AC38" s="102"/>
      <c r="AD38" s="113">
        <f t="shared" si="2"/>
        <v>16571.156896551725</v>
      </c>
      <c r="AE38" s="52">
        <f t="shared" si="3"/>
        <v>3.776358749670811</v>
      </c>
    </row>
    <row r="39" spans="2:31" s="27" customFormat="1" ht="12.75">
      <c r="B39" s="80">
        <v>31</v>
      </c>
      <c r="C39" s="35" t="s">
        <v>35</v>
      </c>
      <c r="D39" s="3" t="s">
        <v>36</v>
      </c>
      <c r="E39" s="39" t="s">
        <v>37</v>
      </c>
      <c r="F39" s="60">
        <v>11</v>
      </c>
      <c r="G39" s="20" t="s">
        <v>38</v>
      </c>
      <c r="H39" s="21">
        <f>435/17400</f>
        <v>0.025</v>
      </c>
      <c r="I39" s="12">
        <f>H39*204639</f>
        <v>5115.975</v>
      </c>
      <c r="J39" s="11">
        <v>15</v>
      </c>
      <c r="K39" s="4" t="s">
        <v>38</v>
      </c>
      <c r="L39" s="14">
        <f>435/17400</f>
        <v>0.025</v>
      </c>
      <c r="M39" s="10">
        <f>L39*1067919</f>
        <v>26697.975000000002</v>
      </c>
      <c r="N39" s="89">
        <f t="shared" si="4"/>
        <v>31813.950000000004</v>
      </c>
      <c r="O39" s="90">
        <f t="shared" si="5"/>
        <v>7.250000056971864</v>
      </c>
      <c r="P39" s="61">
        <v>82</v>
      </c>
      <c r="Q39" s="4" t="s">
        <v>368</v>
      </c>
      <c r="R39" s="3">
        <f>8/1752</f>
        <v>0.0045662100456621</v>
      </c>
      <c r="S39" s="12">
        <f>R39*550774</f>
        <v>2514.9497716894975</v>
      </c>
      <c r="T39" s="11">
        <v>73</v>
      </c>
      <c r="U39" s="4" t="s">
        <v>368</v>
      </c>
      <c r="V39" s="14">
        <f>8/1752</f>
        <v>0.0045662100456621</v>
      </c>
      <c r="W39" s="12">
        <f>V39*202</f>
        <v>0.9223744292237442</v>
      </c>
      <c r="X39" s="11">
        <v>55</v>
      </c>
      <c r="Y39" s="4" t="s">
        <v>368</v>
      </c>
      <c r="Z39" s="14">
        <f>8/1752</f>
        <v>0.0045662100456621</v>
      </c>
      <c r="AA39" s="13">
        <f>Z39*356861</f>
        <v>1629.5022831050228</v>
      </c>
      <c r="AB39" s="106">
        <f t="shared" si="0"/>
        <v>4145.374429223744</v>
      </c>
      <c r="AC39" s="102">
        <f t="shared" si="1"/>
        <v>0.6666666284806656</v>
      </c>
      <c r="AD39" s="113">
        <f t="shared" si="2"/>
        <v>35959.32442922375</v>
      </c>
      <c r="AE39" s="52">
        <f t="shared" si="3"/>
        <v>8.19467888019381</v>
      </c>
    </row>
    <row r="40" spans="2:31" s="27" customFormat="1" ht="12.75">
      <c r="B40" s="80">
        <v>33</v>
      </c>
      <c r="C40" s="35" t="s">
        <v>298</v>
      </c>
      <c r="D40" s="3" t="s">
        <v>39</v>
      </c>
      <c r="E40" s="39" t="s">
        <v>40</v>
      </c>
      <c r="F40" s="61">
        <v>12</v>
      </c>
      <c r="G40" s="4" t="s">
        <v>41</v>
      </c>
      <c r="H40" s="3">
        <f>200/17400</f>
        <v>0.011494252873563218</v>
      </c>
      <c r="I40" s="12">
        <f>H40*204639</f>
        <v>2352.1724137931033</v>
      </c>
      <c r="J40" s="11">
        <v>16</v>
      </c>
      <c r="K40" s="4" t="s">
        <v>299</v>
      </c>
      <c r="L40" s="14">
        <f>198/17400</f>
        <v>0.011379310344827587</v>
      </c>
      <c r="M40" s="10">
        <f>L40*1067919</f>
        <v>12152.181724137932</v>
      </c>
      <c r="N40" s="89">
        <f t="shared" si="4"/>
        <v>14504.354137931035</v>
      </c>
      <c r="O40" s="90">
        <f t="shared" si="5"/>
        <v>3.305360331751954</v>
      </c>
      <c r="P40" s="61">
        <v>1</v>
      </c>
      <c r="Q40" s="4" t="s">
        <v>356</v>
      </c>
      <c r="R40" s="3">
        <f>4/584</f>
        <v>0.00684931506849315</v>
      </c>
      <c r="S40" s="12">
        <f>R40*550774</f>
        <v>3772.4246575342463</v>
      </c>
      <c r="T40" s="11">
        <v>1</v>
      </c>
      <c r="U40" s="4" t="s">
        <v>356</v>
      </c>
      <c r="V40" s="3">
        <f>4/584</f>
        <v>0.00684931506849315</v>
      </c>
      <c r="W40" s="12">
        <f>V40*202</f>
        <v>1.3835616438356164</v>
      </c>
      <c r="X40" s="11">
        <v>1</v>
      </c>
      <c r="Y40" s="4" t="s">
        <v>356</v>
      </c>
      <c r="Z40" s="3">
        <f>4/584</f>
        <v>0.00684931506849315</v>
      </c>
      <c r="AA40" s="13">
        <f>Z40*356861</f>
        <v>2444.253424657534</v>
      </c>
      <c r="AB40" s="106">
        <f t="shared" si="0"/>
        <v>6218.0616438356155</v>
      </c>
      <c r="AC40" s="102">
        <f t="shared" si="1"/>
        <v>0.9999999427209982</v>
      </c>
      <c r="AD40" s="113">
        <f t="shared" si="2"/>
        <v>20722.415781766653</v>
      </c>
      <c r="AE40" s="52">
        <f t="shared" si="3"/>
        <v>4.722378566584874</v>
      </c>
    </row>
    <row r="41" spans="2:31" s="27" customFormat="1" ht="12.75">
      <c r="B41" s="80">
        <v>34</v>
      </c>
      <c r="C41" s="35" t="s">
        <v>298</v>
      </c>
      <c r="D41" s="3" t="s">
        <v>39</v>
      </c>
      <c r="E41" s="39" t="s">
        <v>40</v>
      </c>
      <c r="F41" s="61"/>
      <c r="G41" s="4"/>
      <c r="H41" s="3"/>
      <c r="I41" s="12"/>
      <c r="J41" s="2"/>
      <c r="K41" s="6"/>
      <c r="L41" s="3"/>
      <c r="M41" s="10"/>
      <c r="N41" s="89"/>
      <c r="O41" s="90"/>
      <c r="P41" s="61">
        <v>106</v>
      </c>
      <c r="Q41" s="4" t="s">
        <v>382</v>
      </c>
      <c r="R41" s="3">
        <f>12/2920</f>
        <v>0.00410958904109589</v>
      </c>
      <c r="S41" s="12">
        <f>R41*550774</f>
        <v>2263.4547945205477</v>
      </c>
      <c r="T41" s="11">
        <v>94</v>
      </c>
      <c r="U41" s="4" t="s">
        <v>382</v>
      </c>
      <c r="V41" s="3">
        <f>12/2920</f>
        <v>0.00410958904109589</v>
      </c>
      <c r="W41" s="12">
        <f>V41*202</f>
        <v>0.8301369863013698</v>
      </c>
      <c r="X41" s="11">
        <v>77</v>
      </c>
      <c r="Y41" s="4" t="s">
        <v>382</v>
      </c>
      <c r="Z41" s="14">
        <f>12/2920</f>
        <v>0.00410958904109589</v>
      </c>
      <c r="AA41" s="13">
        <f>Z41*356861</f>
        <v>1466.5520547945205</v>
      </c>
      <c r="AB41" s="106">
        <f t="shared" si="0"/>
        <v>3730.8369863013695</v>
      </c>
      <c r="AC41" s="102">
        <f t="shared" si="1"/>
        <v>0.5999999656325989</v>
      </c>
      <c r="AD41" s="113">
        <f t="shared" si="2"/>
        <v>3730.8369863013695</v>
      </c>
      <c r="AE41" s="52">
        <f t="shared" si="3"/>
        <v>0.8502109408997519</v>
      </c>
    </row>
    <row r="42" spans="2:31" s="27" customFormat="1" ht="12.75">
      <c r="B42" s="80">
        <v>35</v>
      </c>
      <c r="C42" s="35" t="s">
        <v>550</v>
      </c>
      <c r="D42" s="3" t="s">
        <v>256</v>
      </c>
      <c r="E42" s="39" t="s">
        <v>257</v>
      </c>
      <c r="F42" s="61">
        <v>120</v>
      </c>
      <c r="G42" s="4" t="s">
        <v>258</v>
      </c>
      <c r="H42" s="14">
        <f>795/69600</f>
        <v>0.011422413793103449</v>
      </c>
      <c r="I42" s="12">
        <f>H42*204639</f>
        <v>2337.4713362068965</v>
      </c>
      <c r="J42" s="11"/>
      <c r="K42" s="4"/>
      <c r="L42" s="3"/>
      <c r="M42" s="10"/>
      <c r="N42" s="89">
        <f t="shared" si="4"/>
        <v>2337.4713362068965</v>
      </c>
      <c r="O42" s="90">
        <f t="shared" si="5"/>
        <v>0.5326803908559011</v>
      </c>
      <c r="P42" s="61">
        <v>197</v>
      </c>
      <c r="Q42" s="4" t="s">
        <v>497</v>
      </c>
      <c r="R42" s="3">
        <f>150/11680</f>
        <v>0.012842465753424657</v>
      </c>
      <c r="S42" s="12">
        <f>R42*550774</f>
        <v>7073.296232876712</v>
      </c>
      <c r="T42" s="11">
        <v>184</v>
      </c>
      <c r="U42" s="6" t="s">
        <v>387</v>
      </c>
      <c r="V42" s="3">
        <f>70/11680</f>
        <v>0.0059931506849315065</v>
      </c>
      <c r="W42" s="12">
        <f>V42*202</f>
        <v>1.2106164383561644</v>
      </c>
      <c r="X42" s="11">
        <v>156</v>
      </c>
      <c r="Y42" s="4" t="s">
        <v>497</v>
      </c>
      <c r="Z42" s="3">
        <f>150/11680</f>
        <v>0.012842465753424657</v>
      </c>
      <c r="AA42" s="13">
        <f>Z42*356861</f>
        <v>4582.975171232876</v>
      </c>
      <c r="AB42" s="106">
        <f t="shared" si="0"/>
        <v>11657.482020547945</v>
      </c>
      <c r="AC42" s="102">
        <f t="shared" si="1"/>
        <v>1.8747773857108445</v>
      </c>
      <c r="AD42" s="113">
        <f t="shared" si="2"/>
        <v>13994.95335675484</v>
      </c>
      <c r="AE42" s="52">
        <f t="shared" si="3"/>
        <v>3.1892742848276043</v>
      </c>
    </row>
    <row r="43" spans="2:31" s="27" customFormat="1" ht="12.75">
      <c r="B43" s="80">
        <v>36</v>
      </c>
      <c r="C43" s="35" t="s">
        <v>551</v>
      </c>
      <c r="D43" s="3" t="s">
        <v>42</v>
      </c>
      <c r="E43" s="39" t="s">
        <v>43</v>
      </c>
      <c r="F43" s="61">
        <v>13</v>
      </c>
      <c r="G43" s="4" t="s">
        <v>44</v>
      </c>
      <c r="H43" s="3">
        <f>315/17400</f>
        <v>0.01810344827586207</v>
      </c>
      <c r="I43" s="12">
        <f>H43*204639</f>
        <v>3704.671551724138</v>
      </c>
      <c r="J43" s="11">
        <v>17</v>
      </c>
      <c r="K43" s="4" t="s">
        <v>44</v>
      </c>
      <c r="L43" s="3">
        <f>315/17400</f>
        <v>0.01810344827586207</v>
      </c>
      <c r="M43" s="10">
        <f>L43*1067919</f>
        <v>19333.016379310346</v>
      </c>
      <c r="N43" s="89">
        <f t="shared" si="4"/>
        <v>23037.687931034485</v>
      </c>
      <c r="O43" s="90">
        <f t="shared" si="5"/>
        <v>5.250000041255487</v>
      </c>
      <c r="P43" s="61">
        <v>76</v>
      </c>
      <c r="Q43" s="4" t="s">
        <v>356</v>
      </c>
      <c r="R43" s="3">
        <f>4/584</f>
        <v>0.00684931506849315</v>
      </c>
      <c r="S43" s="12">
        <f>R43*550774</f>
        <v>3772.4246575342463</v>
      </c>
      <c r="T43" s="11">
        <v>194</v>
      </c>
      <c r="U43" s="4" t="s">
        <v>202</v>
      </c>
      <c r="V43" s="3">
        <f>120/17520</f>
        <v>0.00684931506849315</v>
      </c>
      <c r="W43" s="12">
        <f>V43*202</f>
        <v>1.3835616438356164</v>
      </c>
      <c r="X43" s="11">
        <v>50</v>
      </c>
      <c r="Y43" s="4" t="s">
        <v>356</v>
      </c>
      <c r="Z43" s="3">
        <f>4/584</f>
        <v>0.00684931506849315</v>
      </c>
      <c r="AA43" s="13">
        <f>Z43*356861</f>
        <v>2444.253424657534</v>
      </c>
      <c r="AB43" s="106">
        <f t="shared" si="0"/>
        <v>6218.0616438356155</v>
      </c>
      <c r="AC43" s="102">
        <f t="shared" si="1"/>
        <v>0.9999999427209982</v>
      </c>
      <c r="AD43" s="113">
        <f t="shared" si="2"/>
        <v>29255.749574870104</v>
      </c>
      <c r="AE43" s="52">
        <f t="shared" si="3"/>
        <v>6.667018276088408</v>
      </c>
    </row>
    <row r="44" spans="2:31" s="27" customFormat="1" ht="12.75">
      <c r="B44" s="80">
        <v>37</v>
      </c>
      <c r="C44" s="35" t="s">
        <v>552</v>
      </c>
      <c r="D44" s="3" t="s">
        <v>45</v>
      </c>
      <c r="E44" s="39" t="s">
        <v>46</v>
      </c>
      <c r="F44" s="61">
        <v>14</v>
      </c>
      <c r="G44" s="4" t="s">
        <v>47</v>
      </c>
      <c r="H44" s="3">
        <f>105/17400</f>
        <v>0.00603448275862069</v>
      </c>
      <c r="I44" s="12">
        <f>H44*204639</f>
        <v>1234.8905172413793</v>
      </c>
      <c r="J44" s="11">
        <v>18</v>
      </c>
      <c r="K44" s="4" t="s">
        <v>47</v>
      </c>
      <c r="L44" s="3">
        <f>105/17400</f>
        <v>0.00603448275862069</v>
      </c>
      <c r="M44" s="10">
        <f>L44*1067919</f>
        <v>6444.338793103449</v>
      </c>
      <c r="N44" s="89">
        <f t="shared" si="4"/>
        <v>7679.229310344828</v>
      </c>
      <c r="O44" s="90">
        <f t="shared" si="5"/>
        <v>1.7500000137518292</v>
      </c>
      <c r="P44" s="61"/>
      <c r="Q44" s="4"/>
      <c r="R44" s="3"/>
      <c r="S44" s="12"/>
      <c r="T44" s="11"/>
      <c r="U44" s="4"/>
      <c r="V44" s="3"/>
      <c r="W44" s="12"/>
      <c r="X44" s="11"/>
      <c r="Y44" s="4"/>
      <c r="Z44" s="3"/>
      <c r="AA44" s="13"/>
      <c r="AB44" s="106"/>
      <c r="AC44" s="102"/>
      <c r="AD44" s="113">
        <f t="shared" si="2"/>
        <v>7679.229310344828</v>
      </c>
      <c r="AE44" s="52">
        <f t="shared" si="3"/>
        <v>1.7500000137518292</v>
      </c>
    </row>
    <row r="45" spans="2:31" s="27" customFormat="1" ht="12.75">
      <c r="B45" s="80">
        <v>38</v>
      </c>
      <c r="C45" s="35" t="s">
        <v>511</v>
      </c>
      <c r="D45" s="3" t="s">
        <v>512</v>
      </c>
      <c r="E45" s="39" t="s">
        <v>513</v>
      </c>
      <c r="F45" s="61"/>
      <c r="G45" s="4"/>
      <c r="H45" s="3"/>
      <c r="I45" s="12"/>
      <c r="J45" s="2"/>
      <c r="K45" s="6"/>
      <c r="L45" s="3"/>
      <c r="M45" s="10"/>
      <c r="N45" s="89"/>
      <c r="O45" s="90"/>
      <c r="P45" s="61"/>
      <c r="Q45" s="4"/>
      <c r="R45" s="3"/>
      <c r="S45" s="12"/>
      <c r="T45" s="11">
        <v>16</v>
      </c>
      <c r="U45" s="4" t="s">
        <v>356</v>
      </c>
      <c r="V45" s="3">
        <f>4/584</f>
        <v>0.00684931506849315</v>
      </c>
      <c r="W45" s="12">
        <f>V45*202</f>
        <v>1.3835616438356164</v>
      </c>
      <c r="X45" s="11"/>
      <c r="Y45" s="4"/>
      <c r="Z45" s="3"/>
      <c r="AA45" s="13"/>
      <c r="AB45" s="106">
        <f t="shared" si="0"/>
        <v>1.3835616438356164</v>
      </c>
      <c r="AC45" s="102">
        <f t="shared" si="1"/>
        <v>0.00022250689102739992</v>
      </c>
      <c r="AD45" s="113">
        <f t="shared" si="2"/>
        <v>1.3835616438356164</v>
      </c>
      <c r="AE45" s="52">
        <f t="shared" si="3"/>
        <v>0.0003152963400216667</v>
      </c>
    </row>
    <row r="46" spans="2:31" s="27" customFormat="1" ht="12.75">
      <c r="B46" s="80">
        <v>39</v>
      </c>
      <c r="C46" s="35" t="s">
        <v>438</v>
      </c>
      <c r="D46" s="3" t="s">
        <v>439</v>
      </c>
      <c r="E46" s="39" t="s">
        <v>172</v>
      </c>
      <c r="F46" s="61"/>
      <c r="G46" s="4"/>
      <c r="H46" s="3"/>
      <c r="I46" s="12"/>
      <c r="J46" s="2"/>
      <c r="K46" s="6"/>
      <c r="L46" s="3"/>
      <c r="M46" s="10"/>
      <c r="N46" s="89"/>
      <c r="O46" s="90"/>
      <c r="P46" s="61">
        <v>107</v>
      </c>
      <c r="Q46" s="4" t="s">
        <v>202</v>
      </c>
      <c r="R46" s="3">
        <f>120/17520</f>
        <v>0.00684931506849315</v>
      </c>
      <c r="S46" s="12">
        <f>R46*550774</f>
        <v>3772.4246575342463</v>
      </c>
      <c r="T46" s="11">
        <v>95</v>
      </c>
      <c r="U46" s="4" t="s">
        <v>202</v>
      </c>
      <c r="V46" s="3">
        <f>120/17520</f>
        <v>0.00684931506849315</v>
      </c>
      <c r="W46" s="12">
        <f>V46*202</f>
        <v>1.3835616438356164</v>
      </c>
      <c r="X46" s="11">
        <v>78</v>
      </c>
      <c r="Y46" s="4" t="s">
        <v>202</v>
      </c>
      <c r="Z46" s="14">
        <f>120/17520</f>
        <v>0.00684931506849315</v>
      </c>
      <c r="AA46" s="13">
        <f>Z46*356861</f>
        <v>2444.253424657534</v>
      </c>
      <c r="AB46" s="106">
        <f t="shared" si="0"/>
        <v>6218.0616438356155</v>
      </c>
      <c r="AC46" s="102">
        <f t="shared" si="1"/>
        <v>0.9999999427209982</v>
      </c>
      <c r="AD46" s="113">
        <f t="shared" si="2"/>
        <v>6218.0616438356155</v>
      </c>
      <c r="AE46" s="52">
        <f t="shared" si="3"/>
        <v>1.4170182348329199</v>
      </c>
    </row>
    <row r="47" spans="2:31" s="27" customFormat="1" ht="12.75">
      <c r="B47" s="80">
        <v>40</v>
      </c>
      <c r="C47" s="35" t="s">
        <v>401</v>
      </c>
      <c r="D47" s="3" t="s">
        <v>402</v>
      </c>
      <c r="E47" s="39" t="s">
        <v>403</v>
      </c>
      <c r="F47" s="61"/>
      <c r="G47" s="4"/>
      <c r="H47" s="3"/>
      <c r="I47" s="12"/>
      <c r="J47" s="2"/>
      <c r="K47" s="6"/>
      <c r="L47" s="3"/>
      <c r="M47" s="10"/>
      <c r="N47" s="89"/>
      <c r="O47" s="90"/>
      <c r="P47" s="61">
        <v>75</v>
      </c>
      <c r="Q47" s="4" t="s">
        <v>400</v>
      </c>
      <c r="R47" s="3">
        <f>1/584</f>
        <v>0.0017123287671232876</v>
      </c>
      <c r="S47" s="12">
        <f>R47*550774</f>
        <v>943.1061643835616</v>
      </c>
      <c r="T47" s="11">
        <v>67</v>
      </c>
      <c r="U47" s="4" t="s">
        <v>400</v>
      </c>
      <c r="V47" s="3">
        <f>1/584</f>
        <v>0.0017123287671232876</v>
      </c>
      <c r="W47" s="12">
        <f>V47*202</f>
        <v>0.3458904109589041</v>
      </c>
      <c r="X47" s="11">
        <v>49</v>
      </c>
      <c r="Y47" s="4" t="s">
        <v>400</v>
      </c>
      <c r="Z47" s="3">
        <f>1/584</f>
        <v>0.0017123287671232876</v>
      </c>
      <c r="AA47" s="13">
        <f>Z47*356861</f>
        <v>611.0633561643835</v>
      </c>
      <c r="AB47" s="106">
        <f t="shared" si="0"/>
        <v>1554.5154109589039</v>
      </c>
      <c r="AC47" s="102">
        <f t="shared" si="1"/>
        <v>0.24999998568024956</v>
      </c>
      <c r="AD47" s="113">
        <f t="shared" si="2"/>
        <v>1554.5154109589039</v>
      </c>
      <c r="AE47" s="52">
        <f t="shared" si="3"/>
        <v>0.35425455870822997</v>
      </c>
    </row>
    <row r="48" spans="2:31" s="27" customFormat="1" ht="12.75">
      <c r="B48" s="80">
        <v>41</v>
      </c>
      <c r="C48" s="35" t="s">
        <v>300</v>
      </c>
      <c r="D48" s="3" t="s">
        <v>301</v>
      </c>
      <c r="E48" s="39" t="s">
        <v>302</v>
      </c>
      <c r="F48" s="61"/>
      <c r="G48" s="4"/>
      <c r="H48" s="14"/>
      <c r="I48" s="12"/>
      <c r="J48" s="11">
        <v>19</v>
      </c>
      <c r="K48" s="4" t="s">
        <v>19</v>
      </c>
      <c r="L48" s="3">
        <f>90/17400</f>
        <v>0.005172413793103448</v>
      </c>
      <c r="M48" s="10">
        <f>L48*1067919</f>
        <v>5523.7189655172415</v>
      </c>
      <c r="N48" s="89">
        <f t="shared" si="4"/>
        <v>5523.7189655172415</v>
      </c>
      <c r="O48" s="90">
        <f t="shared" si="5"/>
        <v>1.2587862498902702</v>
      </c>
      <c r="P48" s="61"/>
      <c r="Q48" s="4"/>
      <c r="R48" s="3"/>
      <c r="S48" s="12"/>
      <c r="T48" s="11"/>
      <c r="U48" s="4"/>
      <c r="V48" s="3"/>
      <c r="W48" s="12"/>
      <c r="X48" s="11"/>
      <c r="Y48" s="4"/>
      <c r="Z48" s="3"/>
      <c r="AA48" s="13"/>
      <c r="AB48" s="106"/>
      <c r="AC48" s="102"/>
      <c r="AD48" s="113">
        <f t="shared" si="2"/>
        <v>5523.7189655172415</v>
      </c>
      <c r="AE48" s="52">
        <f t="shared" si="3"/>
        <v>1.2587862498902702</v>
      </c>
    </row>
    <row r="49" spans="2:31" s="27" customFormat="1" ht="12.75">
      <c r="B49" s="80">
        <v>42</v>
      </c>
      <c r="C49" s="35" t="s">
        <v>553</v>
      </c>
      <c r="D49" s="5" t="s">
        <v>249</v>
      </c>
      <c r="E49" s="39" t="s">
        <v>250</v>
      </c>
      <c r="F49" s="61">
        <v>117</v>
      </c>
      <c r="G49" s="4" t="s">
        <v>63</v>
      </c>
      <c r="H49" s="14">
        <f>195/17400</f>
        <v>0.011206896551724138</v>
      </c>
      <c r="I49" s="12">
        <f>H49*204639</f>
        <v>2293.3681034482756</v>
      </c>
      <c r="J49" s="11"/>
      <c r="K49" s="4"/>
      <c r="L49" s="3"/>
      <c r="M49" s="10"/>
      <c r="N49" s="89">
        <f t="shared" si="4"/>
        <v>2293.3681034482756</v>
      </c>
      <c r="O49" s="90">
        <f t="shared" si="5"/>
        <v>0.5226298174435257</v>
      </c>
      <c r="P49" s="61"/>
      <c r="Q49" s="4"/>
      <c r="R49" s="3"/>
      <c r="S49" s="12"/>
      <c r="T49" s="11"/>
      <c r="U49" s="4"/>
      <c r="V49" s="3"/>
      <c r="W49" s="12"/>
      <c r="X49" s="11"/>
      <c r="Y49" s="4"/>
      <c r="Z49" s="3"/>
      <c r="AA49" s="13"/>
      <c r="AB49" s="106"/>
      <c r="AC49" s="102"/>
      <c r="AD49" s="113">
        <f>I49+M49+S49+W49+AA49</f>
        <v>2293.3681034482756</v>
      </c>
      <c r="AE49" s="52">
        <f t="shared" si="3"/>
        <v>0.5226298174435257</v>
      </c>
    </row>
    <row r="50" spans="2:31" s="27" customFormat="1" ht="12.75">
      <c r="B50" s="80">
        <v>43</v>
      </c>
      <c r="C50" s="35" t="s">
        <v>554</v>
      </c>
      <c r="D50" s="3" t="s">
        <v>48</v>
      </c>
      <c r="E50" s="39" t="s">
        <v>49</v>
      </c>
      <c r="F50" s="61">
        <v>17</v>
      </c>
      <c r="G50" s="4" t="s">
        <v>19</v>
      </c>
      <c r="H50" s="3">
        <f>90/17400</f>
        <v>0.005172413793103448</v>
      </c>
      <c r="I50" s="12">
        <f>H50*204639</f>
        <v>1058.4775862068966</v>
      </c>
      <c r="J50" s="11">
        <v>21</v>
      </c>
      <c r="K50" s="4" t="s">
        <v>19</v>
      </c>
      <c r="L50" s="3">
        <f>90/17400</f>
        <v>0.005172413793103448</v>
      </c>
      <c r="M50" s="10">
        <f>L50*1067919</f>
        <v>5523.7189655172415</v>
      </c>
      <c r="N50" s="89">
        <f t="shared" si="4"/>
        <v>6582.196551724138</v>
      </c>
      <c r="O50" s="90">
        <f t="shared" si="5"/>
        <v>1.500000011787282</v>
      </c>
      <c r="P50" s="61"/>
      <c r="Q50" s="4"/>
      <c r="R50" s="3"/>
      <c r="S50" s="12"/>
      <c r="T50" s="11"/>
      <c r="U50" s="4"/>
      <c r="V50" s="3"/>
      <c r="W50" s="12"/>
      <c r="X50" s="11"/>
      <c r="Y50" s="4"/>
      <c r="Z50" s="3"/>
      <c r="AA50" s="13"/>
      <c r="AB50" s="106"/>
      <c r="AC50" s="102"/>
      <c r="AD50" s="113">
        <f t="shared" si="2"/>
        <v>6582.196551724138</v>
      </c>
      <c r="AE50" s="52">
        <f t="shared" si="3"/>
        <v>1.500000011787282</v>
      </c>
    </row>
    <row r="51" spans="2:31" s="27" customFormat="1" ht="12.75">
      <c r="B51" s="80">
        <v>44</v>
      </c>
      <c r="C51" s="35" t="s">
        <v>622</v>
      </c>
      <c r="D51" s="3" t="s">
        <v>526</v>
      </c>
      <c r="E51" s="39" t="s">
        <v>51</v>
      </c>
      <c r="F51" s="61"/>
      <c r="G51" s="4"/>
      <c r="H51" s="3"/>
      <c r="I51" s="12"/>
      <c r="J51" s="2"/>
      <c r="K51" s="6"/>
      <c r="L51" s="3"/>
      <c r="M51" s="10"/>
      <c r="N51" s="89"/>
      <c r="O51" s="90"/>
      <c r="P51" s="61"/>
      <c r="Q51" s="4"/>
      <c r="R51" s="3"/>
      <c r="S51" s="12"/>
      <c r="T51" s="11">
        <v>12</v>
      </c>
      <c r="U51" s="4" t="s">
        <v>356</v>
      </c>
      <c r="V51" s="3">
        <f>4/584</f>
        <v>0.00684931506849315</v>
      </c>
      <c r="W51" s="12">
        <f>V51*202</f>
        <v>1.3835616438356164</v>
      </c>
      <c r="X51" s="11"/>
      <c r="Y51" s="4"/>
      <c r="Z51" s="3"/>
      <c r="AA51" s="13"/>
      <c r="AB51" s="106">
        <f>S51+W51+AA51</f>
        <v>1.3835616438356164</v>
      </c>
      <c r="AC51" s="102">
        <f>(S51+W51+AA51)/6218.062</f>
        <v>0.00022250689102739992</v>
      </c>
      <c r="AD51" s="113">
        <f>I51+M51+S51+W51+AA51</f>
        <v>1.3835616438356164</v>
      </c>
      <c r="AE51" s="52">
        <f t="shared" si="3"/>
        <v>0.0003152963400216667</v>
      </c>
    </row>
    <row r="52" spans="2:31" s="27" customFormat="1" ht="12.75">
      <c r="B52" s="80">
        <v>45</v>
      </c>
      <c r="C52" s="35" t="s">
        <v>622</v>
      </c>
      <c r="D52" s="3" t="s">
        <v>526</v>
      </c>
      <c r="E52" s="39" t="s">
        <v>51</v>
      </c>
      <c r="F52" s="61"/>
      <c r="G52" s="4"/>
      <c r="H52" s="3"/>
      <c r="I52" s="12"/>
      <c r="J52" s="2"/>
      <c r="K52" s="6"/>
      <c r="L52" s="3"/>
      <c r="M52" s="10"/>
      <c r="N52" s="89"/>
      <c r="O52" s="90"/>
      <c r="P52" s="61"/>
      <c r="Q52" s="4"/>
      <c r="R52" s="3"/>
      <c r="S52" s="12"/>
      <c r="T52" s="11">
        <v>97</v>
      </c>
      <c r="U52" s="4" t="s">
        <v>202</v>
      </c>
      <c r="V52" s="3">
        <f>120/17520</f>
        <v>0.00684931506849315</v>
      </c>
      <c r="W52" s="12">
        <f>V52*202</f>
        <v>1.3835616438356164</v>
      </c>
      <c r="X52" s="11"/>
      <c r="Y52" s="4"/>
      <c r="Z52" s="3"/>
      <c r="AA52" s="13"/>
      <c r="AB52" s="106">
        <f t="shared" si="0"/>
        <v>1.3835616438356164</v>
      </c>
      <c r="AC52" s="102">
        <f t="shared" si="1"/>
        <v>0.00022250689102739992</v>
      </c>
      <c r="AD52" s="113">
        <f t="shared" si="2"/>
        <v>1.3835616438356164</v>
      </c>
      <c r="AE52" s="52">
        <f t="shared" si="3"/>
        <v>0.0003152963400216667</v>
      </c>
    </row>
    <row r="53" spans="2:34" s="27" customFormat="1" ht="12.75">
      <c r="B53" s="80">
        <v>46</v>
      </c>
      <c r="C53" s="35" t="s">
        <v>622</v>
      </c>
      <c r="D53" s="3" t="s">
        <v>50</v>
      </c>
      <c r="E53" s="39" t="s">
        <v>51</v>
      </c>
      <c r="F53" s="61">
        <v>18</v>
      </c>
      <c r="G53" s="4" t="s">
        <v>52</v>
      </c>
      <c r="H53" s="3">
        <f>270/17400</f>
        <v>0.015517241379310345</v>
      </c>
      <c r="I53" s="12">
        <f>H53*204639</f>
        <v>3175.4327586206896</v>
      </c>
      <c r="J53" s="11">
        <v>20</v>
      </c>
      <c r="K53" s="4" t="s">
        <v>52</v>
      </c>
      <c r="L53" s="3">
        <f>270/17400</f>
        <v>0.015517241379310345</v>
      </c>
      <c r="M53" s="10">
        <f>L53*1067919</f>
        <v>16571.156896551725</v>
      </c>
      <c r="N53" s="89">
        <f t="shared" si="4"/>
        <v>19746.589655172414</v>
      </c>
      <c r="O53" s="90">
        <f t="shared" si="5"/>
        <v>4.500000035361846</v>
      </c>
      <c r="P53" s="61">
        <v>108</v>
      </c>
      <c r="Q53" s="4" t="s">
        <v>440</v>
      </c>
      <c r="R53" s="3">
        <f>240/17520</f>
        <v>0.0136986301369863</v>
      </c>
      <c r="S53" s="12">
        <f>R53*550774</f>
        <v>7544.849315068493</v>
      </c>
      <c r="T53" s="11">
        <v>96</v>
      </c>
      <c r="U53" s="4" t="s">
        <v>440</v>
      </c>
      <c r="V53" s="14">
        <f>240/17520</f>
        <v>0.0136986301369863</v>
      </c>
      <c r="W53" s="12">
        <f>V53*202</f>
        <v>2.767123287671233</v>
      </c>
      <c r="X53" s="11">
        <v>79</v>
      </c>
      <c r="Y53" s="4" t="s">
        <v>440</v>
      </c>
      <c r="Z53" s="3">
        <f>240/17520</f>
        <v>0.0136986301369863</v>
      </c>
      <c r="AA53" s="13">
        <f>Z53*356861</f>
        <v>4888.506849315068</v>
      </c>
      <c r="AB53" s="106">
        <f>S53+W53+AA53</f>
        <v>12436.123287671231</v>
      </c>
      <c r="AC53" s="102">
        <f>(S53+W53+AA53)/6218.062</f>
        <v>1.9999998854419965</v>
      </c>
      <c r="AD53" s="113">
        <f>I53+M53+S53+W53+AA53</f>
        <v>32182.712942843646</v>
      </c>
      <c r="AE53" s="52">
        <f t="shared" si="3"/>
        <v>7.334036505027686</v>
      </c>
      <c r="AG53" s="116"/>
      <c r="AH53" s="117"/>
    </row>
    <row r="54" spans="2:31" s="27" customFormat="1" ht="12.75">
      <c r="B54" s="80">
        <v>47</v>
      </c>
      <c r="C54" s="35" t="s">
        <v>623</v>
      </c>
      <c r="D54" s="3" t="s">
        <v>221</v>
      </c>
      <c r="E54" s="39" t="s">
        <v>222</v>
      </c>
      <c r="F54" s="61">
        <v>106</v>
      </c>
      <c r="G54" s="4" t="s">
        <v>223</v>
      </c>
      <c r="H54" s="14">
        <f>380/17400</f>
        <v>0.021839080459770115</v>
      </c>
      <c r="I54" s="12">
        <f>H54*204639</f>
        <v>4469.127586206897</v>
      </c>
      <c r="J54" s="11"/>
      <c r="K54" s="4"/>
      <c r="L54" s="3"/>
      <c r="M54" s="10"/>
      <c r="N54" s="89">
        <f t="shared" si="4"/>
        <v>4469.127586206897</v>
      </c>
      <c r="O54" s="90">
        <f t="shared" si="5"/>
        <v>1.0184581057873834</v>
      </c>
      <c r="P54" s="61">
        <v>185</v>
      </c>
      <c r="Q54" s="4" t="s">
        <v>489</v>
      </c>
      <c r="R54" s="3">
        <f>3/146</f>
        <v>0.02054794520547945</v>
      </c>
      <c r="S54" s="12">
        <f>R54*550774</f>
        <v>11317.27397260274</v>
      </c>
      <c r="T54" s="11">
        <v>172</v>
      </c>
      <c r="U54" s="4" t="s">
        <v>489</v>
      </c>
      <c r="V54" s="3">
        <f>3/146</f>
        <v>0.02054794520547945</v>
      </c>
      <c r="W54" s="12">
        <f>V54*202</f>
        <v>4.1506849315068495</v>
      </c>
      <c r="X54" s="11"/>
      <c r="Y54" s="4"/>
      <c r="Z54" s="3"/>
      <c r="AA54" s="13"/>
      <c r="AB54" s="106">
        <f t="shared" si="0"/>
        <v>11321.424657534246</v>
      </c>
      <c r="AC54" s="102">
        <f t="shared" si="1"/>
        <v>1.820732031545238</v>
      </c>
      <c r="AD54" s="113">
        <f t="shared" si="2"/>
        <v>15790.552243741144</v>
      </c>
      <c r="AE54" s="52">
        <f t="shared" si="3"/>
        <v>3.5984687430118067</v>
      </c>
    </row>
    <row r="55" spans="2:31" s="27" customFormat="1" ht="12.75">
      <c r="B55" s="80">
        <v>48</v>
      </c>
      <c r="C55" s="35" t="s">
        <v>441</v>
      </c>
      <c r="D55" s="3" t="s">
        <v>48</v>
      </c>
      <c r="E55" s="39" t="s">
        <v>442</v>
      </c>
      <c r="F55" s="61"/>
      <c r="G55" s="4"/>
      <c r="H55" s="3"/>
      <c r="I55" s="12"/>
      <c r="J55" s="2"/>
      <c r="K55" s="6"/>
      <c r="L55" s="3"/>
      <c r="M55" s="10"/>
      <c r="N55" s="89"/>
      <c r="O55" s="90"/>
      <c r="P55" s="61">
        <v>109</v>
      </c>
      <c r="Q55" s="4" t="s">
        <v>202</v>
      </c>
      <c r="R55" s="3">
        <f>120/17520</f>
        <v>0.00684931506849315</v>
      </c>
      <c r="S55" s="12">
        <f>R55*550774</f>
        <v>3772.4246575342463</v>
      </c>
      <c r="T55" s="11">
        <v>179</v>
      </c>
      <c r="U55" s="4" t="s">
        <v>356</v>
      </c>
      <c r="V55" s="3">
        <f>4/584</f>
        <v>0.00684931506849315</v>
      </c>
      <c r="W55" s="12">
        <f>V55*202</f>
        <v>1.3835616438356164</v>
      </c>
      <c r="X55" s="11">
        <v>80</v>
      </c>
      <c r="Y55" s="4" t="s">
        <v>202</v>
      </c>
      <c r="Z55" s="3">
        <f>120/17520</f>
        <v>0.00684931506849315</v>
      </c>
      <c r="AA55" s="13">
        <f>Z55*356861</f>
        <v>2444.253424657534</v>
      </c>
      <c r="AB55" s="106">
        <f t="shared" si="0"/>
        <v>6218.0616438356155</v>
      </c>
      <c r="AC55" s="102">
        <f t="shared" si="1"/>
        <v>0.9999999427209982</v>
      </c>
      <c r="AD55" s="113">
        <f t="shared" si="2"/>
        <v>6218.0616438356155</v>
      </c>
      <c r="AE55" s="52">
        <f t="shared" si="3"/>
        <v>1.4170182348329199</v>
      </c>
    </row>
    <row r="56" spans="2:31" s="27" customFormat="1" ht="12.75">
      <c r="B56" s="80">
        <v>49</v>
      </c>
      <c r="C56" s="35" t="s">
        <v>441</v>
      </c>
      <c r="D56" s="3" t="s">
        <v>48</v>
      </c>
      <c r="E56" s="39" t="s">
        <v>442</v>
      </c>
      <c r="F56" s="61"/>
      <c r="G56" s="4"/>
      <c r="H56" s="3"/>
      <c r="I56" s="12"/>
      <c r="J56" s="2"/>
      <c r="K56" s="6"/>
      <c r="L56" s="3"/>
      <c r="M56" s="10"/>
      <c r="N56" s="89"/>
      <c r="O56" s="90"/>
      <c r="P56" s="61">
        <v>192</v>
      </c>
      <c r="Q56" s="4" t="s">
        <v>356</v>
      </c>
      <c r="R56" s="3">
        <f>4/584</f>
        <v>0.00684931506849315</v>
      </c>
      <c r="S56" s="12">
        <f>R56*550774</f>
        <v>3772.4246575342463</v>
      </c>
      <c r="T56" s="11"/>
      <c r="U56" s="4"/>
      <c r="V56" s="3"/>
      <c r="W56" s="12"/>
      <c r="X56" s="11">
        <v>151</v>
      </c>
      <c r="Y56" s="4" t="s">
        <v>356</v>
      </c>
      <c r="Z56" s="3">
        <f>4/584</f>
        <v>0.00684931506849315</v>
      </c>
      <c r="AA56" s="13">
        <f>Z56*356861</f>
        <v>2444.253424657534</v>
      </c>
      <c r="AB56" s="106">
        <f t="shared" si="0"/>
        <v>6216.67808219178</v>
      </c>
      <c r="AC56" s="102">
        <f t="shared" si="1"/>
        <v>0.9997774358299708</v>
      </c>
      <c r="AD56" s="113">
        <f t="shared" si="2"/>
        <v>6216.67808219178</v>
      </c>
      <c r="AE56" s="52">
        <f t="shared" si="3"/>
        <v>1.4167029384928982</v>
      </c>
    </row>
    <row r="57" spans="2:31" s="27" customFormat="1" ht="12.75">
      <c r="B57" s="80">
        <v>50</v>
      </c>
      <c r="C57" s="35" t="s">
        <v>555</v>
      </c>
      <c r="D57" s="3" t="s">
        <v>500</v>
      </c>
      <c r="E57" s="39" t="s">
        <v>501</v>
      </c>
      <c r="F57" s="61"/>
      <c r="G57" s="4"/>
      <c r="H57" s="3"/>
      <c r="I57" s="12"/>
      <c r="J57" s="2"/>
      <c r="K57" s="6"/>
      <c r="L57" s="3"/>
      <c r="M57" s="10"/>
      <c r="N57" s="89"/>
      <c r="O57" s="90"/>
      <c r="P57" s="61">
        <v>201</v>
      </c>
      <c r="Q57" s="4" t="s">
        <v>502</v>
      </c>
      <c r="R57" s="3">
        <f>10/584</f>
        <v>0.017123287671232876</v>
      </c>
      <c r="S57" s="12">
        <f>R57*550774</f>
        <v>9431.061643835616</v>
      </c>
      <c r="T57" s="11">
        <v>189</v>
      </c>
      <c r="U57" s="4" t="s">
        <v>502</v>
      </c>
      <c r="V57" s="3">
        <f>10/584</f>
        <v>0.017123287671232876</v>
      </c>
      <c r="W57" s="12">
        <f>V57*202</f>
        <v>3.458904109589041</v>
      </c>
      <c r="X57" s="11">
        <v>160</v>
      </c>
      <c r="Y57" s="4" t="s">
        <v>502</v>
      </c>
      <c r="Z57" s="3">
        <f>10/584</f>
        <v>0.017123287671232876</v>
      </c>
      <c r="AA57" s="13">
        <f>Z57*356861</f>
        <v>6110.6335616438355</v>
      </c>
      <c r="AB57" s="106">
        <f t="shared" si="0"/>
        <v>15545.15410958904</v>
      </c>
      <c r="AC57" s="102">
        <f t="shared" si="1"/>
        <v>2.499999856802496</v>
      </c>
      <c r="AD57" s="113">
        <f t="shared" si="2"/>
        <v>15545.15410958904</v>
      </c>
      <c r="AE57" s="52">
        <f t="shared" si="3"/>
        <v>3.5425455870822997</v>
      </c>
    </row>
    <row r="58" spans="2:31" s="27" customFormat="1" ht="12.75">
      <c r="B58" s="80">
        <v>51</v>
      </c>
      <c r="C58" s="35" t="s">
        <v>527</v>
      </c>
      <c r="D58" s="3" t="s">
        <v>528</v>
      </c>
      <c r="E58" s="39" t="s">
        <v>54</v>
      </c>
      <c r="F58" s="61"/>
      <c r="G58" s="4"/>
      <c r="H58" s="3"/>
      <c r="I58" s="12"/>
      <c r="J58" s="2"/>
      <c r="K58" s="6"/>
      <c r="L58" s="3"/>
      <c r="M58" s="10"/>
      <c r="N58" s="89"/>
      <c r="O58" s="90"/>
      <c r="P58" s="61"/>
      <c r="Q58" s="4"/>
      <c r="R58" s="3"/>
      <c r="S58" s="12"/>
      <c r="T58" s="11">
        <v>80</v>
      </c>
      <c r="U58" s="4" t="s">
        <v>362</v>
      </c>
      <c r="V58" s="3">
        <f>2/584</f>
        <v>0.003424657534246575</v>
      </c>
      <c r="W58" s="12">
        <f>V58*202</f>
        <v>0.6917808219178082</v>
      </c>
      <c r="X58" s="11"/>
      <c r="Y58" s="4"/>
      <c r="Z58" s="3"/>
      <c r="AA58" s="13"/>
      <c r="AB58" s="106">
        <f t="shared" si="0"/>
        <v>0.6917808219178082</v>
      </c>
      <c r="AC58" s="102">
        <f t="shared" si="1"/>
        <v>0.00011125344551369996</v>
      </c>
      <c r="AD58" s="113">
        <f t="shared" si="2"/>
        <v>0.6917808219178082</v>
      </c>
      <c r="AE58" s="52">
        <f t="shared" si="3"/>
        <v>0.00015764817001083335</v>
      </c>
    </row>
    <row r="59" spans="2:31" s="27" customFormat="1" ht="12.75">
      <c r="B59" s="80">
        <v>52</v>
      </c>
      <c r="C59" s="35" t="s">
        <v>556</v>
      </c>
      <c r="D59" s="3" t="s">
        <v>53</v>
      </c>
      <c r="E59" s="39" t="s">
        <v>54</v>
      </c>
      <c r="F59" s="61">
        <v>19</v>
      </c>
      <c r="G59" s="4" t="s">
        <v>22</v>
      </c>
      <c r="H59" s="3">
        <f>180/17400</f>
        <v>0.010344827586206896</v>
      </c>
      <c r="I59" s="12">
        <f>H59*204639</f>
        <v>2116.955172413793</v>
      </c>
      <c r="J59" s="11">
        <v>22</v>
      </c>
      <c r="K59" s="4" t="s">
        <v>22</v>
      </c>
      <c r="L59" s="3">
        <f>180/17400</f>
        <v>0.010344827586206896</v>
      </c>
      <c r="M59" s="10">
        <f>L59*1067919</f>
        <v>11047.437931034483</v>
      </c>
      <c r="N59" s="89">
        <f t="shared" si="4"/>
        <v>13164.393103448276</v>
      </c>
      <c r="O59" s="90">
        <f t="shared" si="5"/>
        <v>3.000000023574564</v>
      </c>
      <c r="P59" s="61">
        <v>111</v>
      </c>
      <c r="Q59" s="4" t="s">
        <v>356</v>
      </c>
      <c r="R59" s="3">
        <f>4/584</f>
        <v>0.00684931506849315</v>
      </c>
      <c r="S59" s="12">
        <f>R59*550774</f>
        <v>3772.4246575342463</v>
      </c>
      <c r="T59" s="11">
        <v>99</v>
      </c>
      <c r="U59" s="4" t="s">
        <v>356</v>
      </c>
      <c r="V59" s="3">
        <f>4/584</f>
        <v>0.00684931506849315</v>
      </c>
      <c r="W59" s="12">
        <f>V59*202</f>
        <v>1.3835616438356164</v>
      </c>
      <c r="X59" s="11">
        <v>82</v>
      </c>
      <c r="Y59" s="4" t="s">
        <v>356</v>
      </c>
      <c r="Z59" s="3">
        <f>4/584</f>
        <v>0.00684931506849315</v>
      </c>
      <c r="AA59" s="13">
        <f>Z59*356861</f>
        <v>2444.253424657534</v>
      </c>
      <c r="AB59" s="106">
        <f t="shared" si="0"/>
        <v>6218.0616438356155</v>
      </c>
      <c r="AC59" s="102">
        <f t="shared" si="1"/>
        <v>0.9999999427209982</v>
      </c>
      <c r="AD59" s="113">
        <f t="shared" si="2"/>
        <v>19382.454747283893</v>
      </c>
      <c r="AE59" s="52">
        <f t="shared" si="3"/>
        <v>4.417018258407484</v>
      </c>
    </row>
    <row r="60" spans="2:31" s="27" customFormat="1" ht="12.75">
      <c r="B60" s="80">
        <v>53</v>
      </c>
      <c r="C60" s="35" t="s">
        <v>443</v>
      </c>
      <c r="D60" s="3" t="s">
        <v>55</v>
      </c>
      <c r="E60" s="39" t="s">
        <v>444</v>
      </c>
      <c r="F60" s="61"/>
      <c r="G60" s="4"/>
      <c r="H60" s="3"/>
      <c r="I60" s="12"/>
      <c r="J60" s="2"/>
      <c r="K60" s="6"/>
      <c r="L60" s="3"/>
      <c r="M60" s="10"/>
      <c r="N60" s="89"/>
      <c r="O60" s="90"/>
      <c r="P60" s="61">
        <v>112</v>
      </c>
      <c r="Q60" s="4" t="s">
        <v>202</v>
      </c>
      <c r="R60" s="3">
        <f>120/17520</f>
        <v>0.00684931506849315</v>
      </c>
      <c r="S60" s="12">
        <f>R60*550774</f>
        <v>3772.4246575342463</v>
      </c>
      <c r="T60" s="11">
        <v>100</v>
      </c>
      <c r="U60" s="4" t="s">
        <v>202</v>
      </c>
      <c r="V60" s="3">
        <f>120/17520</f>
        <v>0.00684931506849315</v>
      </c>
      <c r="W60" s="12">
        <f>V60*202</f>
        <v>1.3835616438356164</v>
      </c>
      <c r="X60" s="11">
        <v>83</v>
      </c>
      <c r="Y60" s="4" t="s">
        <v>202</v>
      </c>
      <c r="Z60" s="3">
        <f>120/17520</f>
        <v>0.00684931506849315</v>
      </c>
      <c r="AA60" s="13">
        <f>Z60*356861</f>
        <v>2444.253424657534</v>
      </c>
      <c r="AB60" s="106">
        <f t="shared" si="0"/>
        <v>6218.0616438356155</v>
      </c>
      <c r="AC60" s="102">
        <f t="shared" si="1"/>
        <v>0.9999999427209982</v>
      </c>
      <c r="AD60" s="113">
        <f t="shared" si="2"/>
        <v>6218.0616438356155</v>
      </c>
      <c r="AE60" s="52">
        <f t="shared" si="3"/>
        <v>1.4170182348329199</v>
      </c>
    </row>
    <row r="61" spans="2:31" s="27" customFormat="1" ht="12.75">
      <c r="B61" s="80">
        <v>54</v>
      </c>
      <c r="C61" s="35" t="s">
        <v>557</v>
      </c>
      <c r="D61" s="3" t="s">
        <v>304</v>
      </c>
      <c r="E61" s="39" t="s">
        <v>305</v>
      </c>
      <c r="F61" s="61"/>
      <c r="G61" s="4"/>
      <c r="H61" s="14"/>
      <c r="I61" s="12"/>
      <c r="J61" s="11">
        <v>24</v>
      </c>
      <c r="K61" s="4" t="s">
        <v>38</v>
      </c>
      <c r="L61" s="14">
        <f>435/17400</f>
        <v>0.025</v>
      </c>
      <c r="M61" s="10">
        <f>L61*1067919</f>
        <v>26697.975000000002</v>
      </c>
      <c r="N61" s="89">
        <f t="shared" si="4"/>
        <v>26697.975000000002</v>
      </c>
      <c r="O61" s="90">
        <f t="shared" si="5"/>
        <v>6.084133541136306</v>
      </c>
      <c r="P61" s="61"/>
      <c r="Q61" s="4"/>
      <c r="R61" s="3"/>
      <c r="S61" s="12"/>
      <c r="T61" s="11"/>
      <c r="U61" s="4"/>
      <c r="V61" s="3"/>
      <c r="W61" s="12"/>
      <c r="X61" s="11"/>
      <c r="Y61" s="4"/>
      <c r="Z61" s="3"/>
      <c r="AA61" s="13"/>
      <c r="AB61" s="106"/>
      <c r="AC61" s="102"/>
      <c r="AD61" s="113">
        <f t="shared" si="2"/>
        <v>26697.975000000002</v>
      </c>
      <c r="AE61" s="52">
        <f t="shared" si="3"/>
        <v>6.084133541136306</v>
      </c>
    </row>
    <row r="62" spans="2:31" s="27" customFormat="1" ht="12.75">
      <c r="B62" s="80">
        <v>55</v>
      </c>
      <c r="C62" s="35" t="s">
        <v>303</v>
      </c>
      <c r="D62" s="3" t="s">
        <v>55</v>
      </c>
      <c r="E62" s="39" t="s">
        <v>56</v>
      </c>
      <c r="F62" s="61">
        <v>21</v>
      </c>
      <c r="G62" s="4" t="s">
        <v>22</v>
      </c>
      <c r="H62" s="3">
        <f>180/17400</f>
        <v>0.010344827586206896</v>
      </c>
      <c r="I62" s="12">
        <f>H62*204639</f>
        <v>2116.955172413793</v>
      </c>
      <c r="J62" s="11">
        <v>23</v>
      </c>
      <c r="K62" s="4" t="s">
        <v>22</v>
      </c>
      <c r="L62" s="3">
        <f>180/17400</f>
        <v>0.010344827586206896</v>
      </c>
      <c r="M62" s="10">
        <f>L62*1067919</f>
        <v>11047.437931034483</v>
      </c>
      <c r="N62" s="89">
        <f t="shared" si="4"/>
        <v>13164.393103448276</v>
      </c>
      <c r="O62" s="90">
        <f t="shared" si="5"/>
        <v>3.000000023574564</v>
      </c>
      <c r="P62" s="61">
        <v>113</v>
      </c>
      <c r="Q62" s="4" t="s">
        <v>202</v>
      </c>
      <c r="R62" s="3">
        <f>120/17520</f>
        <v>0.00684931506849315</v>
      </c>
      <c r="S62" s="12">
        <f aca="true" t="shared" si="10" ref="S62:S67">R62*550774</f>
        <v>3772.4246575342463</v>
      </c>
      <c r="T62" s="11">
        <v>101</v>
      </c>
      <c r="U62" s="4" t="s">
        <v>202</v>
      </c>
      <c r="V62" s="3">
        <f>120/17520</f>
        <v>0.00684931506849315</v>
      </c>
      <c r="W62" s="12">
        <f aca="true" t="shared" si="11" ref="W62:W67">V62*202</f>
        <v>1.3835616438356164</v>
      </c>
      <c r="X62" s="11">
        <v>84</v>
      </c>
      <c r="Y62" s="4" t="s">
        <v>202</v>
      </c>
      <c r="Z62" s="3">
        <f>120/17520</f>
        <v>0.00684931506849315</v>
      </c>
      <c r="AA62" s="13">
        <f aca="true" t="shared" si="12" ref="AA62:AA67">Z62*356861</f>
        <v>2444.253424657534</v>
      </c>
      <c r="AB62" s="106">
        <f t="shared" si="0"/>
        <v>6218.0616438356155</v>
      </c>
      <c r="AC62" s="102">
        <f t="shared" si="1"/>
        <v>0.9999999427209982</v>
      </c>
      <c r="AD62" s="113">
        <f t="shared" si="2"/>
        <v>19382.454747283893</v>
      </c>
      <c r="AE62" s="52">
        <f t="shared" si="3"/>
        <v>4.417018258407484</v>
      </c>
    </row>
    <row r="63" spans="2:31" s="27" customFormat="1" ht="12.75">
      <c r="B63" s="80">
        <v>56</v>
      </c>
      <c r="C63" s="35" t="s">
        <v>493</v>
      </c>
      <c r="D63" s="3" t="s">
        <v>494</v>
      </c>
      <c r="E63" s="39" t="s">
        <v>495</v>
      </c>
      <c r="F63" s="61"/>
      <c r="G63" s="4"/>
      <c r="H63" s="3"/>
      <c r="I63" s="12"/>
      <c r="J63" s="2"/>
      <c r="K63" s="6"/>
      <c r="L63" s="3"/>
      <c r="M63" s="10"/>
      <c r="N63" s="89"/>
      <c r="O63" s="90"/>
      <c r="P63" s="61">
        <v>193</v>
      </c>
      <c r="Q63" s="4" t="s">
        <v>356</v>
      </c>
      <c r="R63" s="3">
        <f>4/584</f>
        <v>0.00684931506849315</v>
      </c>
      <c r="S63" s="12">
        <f t="shared" si="10"/>
        <v>3772.4246575342463</v>
      </c>
      <c r="T63" s="11">
        <v>180</v>
      </c>
      <c r="U63" s="4" t="s">
        <v>356</v>
      </c>
      <c r="V63" s="3">
        <f>4/584</f>
        <v>0.00684931506849315</v>
      </c>
      <c r="W63" s="12">
        <f t="shared" si="11"/>
        <v>1.3835616438356164</v>
      </c>
      <c r="X63" s="11">
        <v>152</v>
      </c>
      <c r="Y63" s="4" t="s">
        <v>356</v>
      </c>
      <c r="Z63" s="3">
        <f>4/584</f>
        <v>0.00684931506849315</v>
      </c>
      <c r="AA63" s="13">
        <f t="shared" si="12"/>
        <v>2444.253424657534</v>
      </c>
      <c r="AB63" s="106">
        <f t="shared" si="0"/>
        <v>6218.0616438356155</v>
      </c>
      <c r="AC63" s="102">
        <f t="shared" si="1"/>
        <v>0.9999999427209982</v>
      </c>
      <c r="AD63" s="113">
        <f t="shared" si="2"/>
        <v>6218.0616438356155</v>
      </c>
      <c r="AE63" s="52">
        <f t="shared" si="3"/>
        <v>1.4170182348329199</v>
      </c>
    </row>
    <row r="64" spans="2:31" s="27" customFormat="1" ht="12.75">
      <c r="B64" s="80">
        <v>57</v>
      </c>
      <c r="C64" s="35" t="s">
        <v>369</v>
      </c>
      <c r="D64" s="3"/>
      <c r="E64" s="39" t="s">
        <v>370</v>
      </c>
      <c r="F64" s="61"/>
      <c r="G64" s="4"/>
      <c r="H64" s="14"/>
      <c r="I64" s="12"/>
      <c r="J64" s="11"/>
      <c r="K64" s="4"/>
      <c r="L64" s="3"/>
      <c r="M64" s="10"/>
      <c r="N64" s="89"/>
      <c r="O64" s="90"/>
      <c r="P64" s="61">
        <v>41</v>
      </c>
      <c r="Q64" s="4" t="s">
        <v>371</v>
      </c>
      <c r="R64" s="3">
        <f>1/1533</f>
        <v>0.0006523157208088715</v>
      </c>
      <c r="S64" s="12">
        <f t="shared" si="10"/>
        <v>359.27853881278537</v>
      </c>
      <c r="T64" s="11">
        <v>34</v>
      </c>
      <c r="U64" s="4" t="s">
        <v>371</v>
      </c>
      <c r="V64" s="3">
        <f>1/1533</f>
        <v>0.0006523157208088715</v>
      </c>
      <c r="W64" s="12">
        <f t="shared" si="11"/>
        <v>0.13176777560339203</v>
      </c>
      <c r="X64" s="11">
        <v>17</v>
      </c>
      <c r="Y64" s="4" t="s">
        <v>371</v>
      </c>
      <c r="Z64" s="3">
        <f>1/1533</f>
        <v>0.0006523157208088715</v>
      </c>
      <c r="AA64" s="13">
        <f t="shared" si="12"/>
        <v>232.78604044357468</v>
      </c>
      <c r="AB64" s="106">
        <f t="shared" si="0"/>
        <v>592.1963470319635</v>
      </c>
      <c r="AC64" s="102">
        <f t="shared" si="1"/>
        <v>0.09523808978295223</v>
      </c>
      <c r="AD64" s="113">
        <f t="shared" si="2"/>
        <v>592.1963470319635</v>
      </c>
      <c r="AE64" s="52">
        <f t="shared" si="3"/>
        <v>0.13495411760313522</v>
      </c>
    </row>
    <row r="65" spans="2:31" s="27" customFormat="1" ht="12.75">
      <c r="B65" s="80">
        <v>58</v>
      </c>
      <c r="C65" s="35" t="s">
        <v>558</v>
      </c>
      <c r="D65" s="3" t="s">
        <v>624</v>
      </c>
      <c r="E65" s="39" t="s">
        <v>57</v>
      </c>
      <c r="F65" s="61">
        <v>22</v>
      </c>
      <c r="G65" s="4" t="s">
        <v>58</v>
      </c>
      <c r="H65" s="14">
        <f>45/17400</f>
        <v>0.002586206896551724</v>
      </c>
      <c r="I65" s="12">
        <f>H65*204639</f>
        <v>529.2387931034483</v>
      </c>
      <c r="J65" s="11">
        <v>25</v>
      </c>
      <c r="K65" s="4" t="s">
        <v>58</v>
      </c>
      <c r="L65" s="3">
        <f>45/17400</f>
        <v>0.002586206896551724</v>
      </c>
      <c r="M65" s="10">
        <f>L65*1067919</f>
        <v>2761.8594827586207</v>
      </c>
      <c r="N65" s="89">
        <f t="shared" si="4"/>
        <v>3291.098275862069</v>
      </c>
      <c r="O65" s="90">
        <f t="shared" si="5"/>
        <v>0.750000005893641</v>
      </c>
      <c r="P65" s="61">
        <v>44</v>
      </c>
      <c r="Q65" s="4" t="s">
        <v>371</v>
      </c>
      <c r="R65" s="3">
        <f>1/1533</f>
        <v>0.0006523157208088715</v>
      </c>
      <c r="S65" s="12">
        <f t="shared" si="10"/>
        <v>359.27853881278537</v>
      </c>
      <c r="T65" s="11">
        <v>37</v>
      </c>
      <c r="U65" s="4" t="s">
        <v>371</v>
      </c>
      <c r="V65" s="3">
        <f>1/1533</f>
        <v>0.0006523157208088715</v>
      </c>
      <c r="W65" s="12">
        <f t="shared" si="11"/>
        <v>0.13176777560339203</v>
      </c>
      <c r="X65" s="11">
        <v>20</v>
      </c>
      <c r="Y65" s="4" t="s">
        <v>371</v>
      </c>
      <c r="Z65" s="3">
        <f>1/1533</f>
        <v>0.0006523157208088715</v>
      </c>
      <c r="AA65" s="13">
        <f t="shared" si="12"/>
        <v>232.78604044357468</v>
      </c>
      <c r="AB65" s="106">
        <f t="shared" si="0"/>
        <v>592.1963470319635</v>
      </c>
      <c r="AC65" s="102">
        <f t="shared" si="1"/>
        <v>0.09523808978295223</v>
      </c>
      <c r="AD65" s="113">
        <f t="shared" si="2"/>
        <v>3883.2946228940323</v>
      </c>
      <c r="AE65" s="52">
        <f t="shared" si="3"/>
        <v>0.8849541234967762</v>
      </c>
    </row>
    <row r="66" spans="2:31" s="27" customFormat="1" ht="12.75">
      <c r="B66" s="80">
        <v>59</v>
      </c>
      <c r="C66" s="35" t="s">
        <v>559</v>
      </c>
      <c r="D66" s="3" t="s">
        <v>59</v>
      </c>
      <c r="E66" s="39" t="s">
        <v>60</v>
      </c>
      <c r="F66" s="61">
        <v>23</v>
      </c>
      <c r="G66" s="4" t="s">
        <v>58</v>
      </c>
      <c r="H66" s="14">
        <f>45/17400</f>
        <v>0.002586206896551724</v>
      </c>
      <c r="I66" s="12">
        <f>H66*204639</f>
        <v>529.2387931034483</v>
      </c>
      <c r="J66" s="11">
        <v>26</v>
      </c>
      <c r="K66" s="4" t="s">
        <v>58</v>
      </c>
      <c r="L66" s="3">
        <f>45/17400</f>
        <v>0.002586206896551724</v>
      </c>
      <c r="M66" s="10">
        <f>L66*1067919</f>
        <v>2761.8594827586207</v>
      </c>
      <c r="N66" s="89">
        <f t="shared" si="4"/>
        <v>3291.098275862069</v>
      </c>
      <c r="O66" s="90">
        <f t="shared" si="5"/>
        <v>0.750000005893641</v>
      </c>
      <c r="P66" s="61">
        <v>40</v>
      </c>
      <c r="Q66" s="4" t="s">
        <v>368</v>
      </c>
      <c r="R66" s="3">
        <f>8/1752</f>
        <v>0.0045662100456621</v>
      </c>
      <c r="S66" s="12">
        <f t="shared" si="10"/>
        <v>2514.9497716894975</v>
      </c>
      <c r="T66" s="11">
        <v>33</v>
      </c>
      <c r="U66" s="4" t="s">
        <v>519</v>
      </c>
      <c r="V66" s="3">
        <f>8/1852</f>
        <v>0.004319654427645789</v>
      </c>
      <c r="W66" s="12">
        <f t="shared" si="11"/>
        <v>0.8725701943844493</v>
      </c>
      <c r="X66" s="11">
        <v>16</v>
      </c>
      <c r="Y66" s="4" t="s">
        <v>368</v>
      </c>
      <c r="Z66" s="3">
        <f>8/1752</f>
        <v>0.0045662100456621</v>
      </c>
      <c r="AA66" s="13">
        <f t="shared" si="12"/>
        <v>1629.5022831050228</v>
      </c>
      <c r="AB66" s="106">
        <f t="shared" si="0"/>
        <v>4145.324624988905</v>
      </c>
      <c r="AC66" s="102">
        <f t="shared" si="1"/>
        <v>0.6666586188733572</v>
      </c>
      <c r="AD66" s="113">
        <f t="shared" si="2"/>
        <v>7436.422900850974</v>
      </c>
      <c r="AE66" s="52">
        <f t="shared" si="3"/>
        <v>1.6946674793553276</v>
      </c>
    </row>
    <row r="67" spans="2:31" s="27" customFormat="1" ht="12.75">
      <c r="B67" s="80">
        <v>60</v>
      </c>
      <c r="C67" s="35" t="s">
        <v>376</v>
      </c>
      <c r="D67" s="3" t="s">
        <v>625</v>
      </c>
      <c r="E67" s="41" t="s">
        <v>377</v>
      </c>
      <c r="F67" s="61"/>
      <c r="G67" s="4"/>
      <c r="H67" s="14"/>
      <c r="I67" s="12"/>
      <c r="J67" s="11"/>
      <c r="K67" s="4"/>
      <c r="L67" s="3"/>
      <c r="M67" s="10"/>
      <c r="N67" s="89"/>
      <c r="O67" s="90"/>
      <c r="P67" s="61">
        <v>45</v>
      </c>
      <c r="Q67" s="4" t="s">
        <v>371</v>
      </c>
      <c r="R67" s="3">
        <f>1/1533</f>
        <v>0.0006523157208088715</v>
      </c>
      <c r="S67" s="12">
        <f t="shared" si="10"/>
        <v>359.27853881278537</v>
      </c>
      <c r="T67" s="11">
        <v>38</v>
      </c>
      <c r="U67" s="4" t="s">
        <v>371</v>
      </c>
      <c r="V67" s="3">
        <f>1/1533</f>
        <v>0.0006523157208088715</v>
      </c>
      <c r="W67" s="12">
        <f t="shared" si="11"/>
        <v>0.13176777560339203</v>
      </c>
      <c r="X67" s="11">
        <v>21</v>
      </c>
      <c r="Y67" s="4" t="s">
        <v>371</v>
      </c>
      <c r="Z67" s="3">
        <f>1/1533</f>
        <v>0.0006523157208088715</v>
      </c>
      <c r="AA67" s="13">
        <f t="shared" si="12"/>
        <v>232.78604044357468</v>
      </c>
      <c r="AB67" s="106">
        <f t="shared" si="0"/>
        <v>592.1963470319635</v>
      </c>
      <c r="AC67" s="102">
        <f t="shared" si="1"/>
        <v>0.09523808978295223</v>
      </c>
      <c r="AD67" s="113">
        <f t="shared" si="2"/>
        <v>592.1963470319635</v>
      </c>
      <c r="AE67" s="52">
        <f t="shared" si="3"/>
        <v>0.13495411760313522</v>
      </c>
    </row>
    <row r="68" spans="2:31" s="27" customFormat="1" ht="12.75">
      <c r="B68" s="80">
        <v>62</v>
      </c>
      <c r="C68" s="35" t="s">
        <v>560</v>
      </c>
      <c r="D68" s="3" t="s">
        <v>61</v>
      </c>
      <c r="E68" s="39" t="s">
        <v>62</v>
      </c>
      <c r="F68" s="61">
        <v>24</v>
      </c>
      <c r="G68" s="4" t="s">
        <v>63</v>
      </c>
      <c r="H68" s="14">
        <f>195/17400</f>
        <v>0.011206896551724138</v>
      </c>
      <c r="I68" s="12">
        <f>H68*204639</f>
        <v>2293.3681034482756</v>
      </c>
      <c r="J68" s="11">
        <v>28</v>
      </c>
      <c r="K68" s="4" t="s">
        <v>63</v>
      </c>
      <c r="L68" s="3">
        <f>195/17400</f>
        <v>0.011206896551724138</v>
      </c>
      <c r="M68" s="10">
        <f>L68*1067919</f>
        <v>11968.05775862069</v>
      </c>
      <c r="N68" s="89">
        <f t="shared" si="4"/>
        <v>14261.425862068965</v>
      </c>
      <c r="O68" s="90">
        <f t="shared" si="5"/>
        <v>3.250000025539111</v>
      </c>
      <c r="P68" s="61"/>
      <c r="Q68" s="4"/>
      <c r="R68" s="3"/>
      <c r="S68" s="12"/>
      <c r="T68" s="11"/>
      <c r="U68" s="4"/>
      <c r="V68" s="3"/>
      <c r="W68" s="12"/>
      <c r="X68" s="11"/>
      <c r="Y68" s="4"/>
      <c r="Z68" s="3"/>
      <c r="AA68" s="13"/>
      <c r="AB68" s="106"/>
      <c r="AC68" s="102"/>
      <c r="AD68" s="113">
        <f t="shared" si="2"/>
        <v>14261.425862068965</v>
      </c>
      <c r="AE68" s="52">
        <f t="shared" si="3"/>
        <v>3.250000025539111</v>
      </c>
    </row>
    <row r="69" spans="2:31" s="27" customFormat="1" ht="12.75">
      <c r="B69" s="80">
        <v>63</v>
      </c>
      <c r="C69" s="35" t="s">
        <v>561</v>
      </c>
      <c r="D69" s="3" t="s">
        <v>64</v>
      </c>
      <c r="E69" s="39" t="s">
        <v>65</v>
      </c>
      <c r="F69" s="61">
        <v>25</v>
      </c>
      <c r="G69" s="4" t="s">
        <v>66</v>
      </c>
      <c r="H69" s="14">
        <f>60/17400</f>
        <v>0.0034482758620689655</v>
      </c>
      <c r="I69" s="12">
        <f>H69*204639</f>
        <v>705.6517241379311</v>
      </c>
      <c r="J69" s="11">
        <v>27</v>
      </c>
      <c r="K69" s="4" t="s">
        <v>66</v>
      </c>
      <c r="L69" s="14">
        <f>60/17400</f>
        <v>0.0034482758620689655</v>
      </c>
      <c r="M69" s="10">
        <f>L69*1067919</f>
        <v>3682.4793103448274</v>
      </c>
      <c r="N69" s="89">
        <f t="shared" si="4"/>
        <v>4388.131034482758</v>
      </c>
      <c r="O69" s="90">
        <f t="shared" si="5"/>
        <v>1.0000000078581879</v>
      </c>
      <c r="P69" s="61"/>
      <c r="Q69" s="4"/>
      <c r="R69" s="3"/>
      <c r="S69" s="12"/>
      <c r="T69" s="11"/>
      <c r="U69" s="4"/>
      <c r="V69" s="3"/>
      <c r="W69" s="12"/>
      <c r="X69" s="11"/>
      <c r="Y69" s="4"/>
      <c r="Z69" s="3"/>
      <c r="AA69" s="13"/>
      <c r="AB69" s="106"/>
      <c r="AC69" s="102"/>
      <c r="AD69" s="113">
        <f t="shared" si="2"/>
        <v>4388.131034482758</v>
      </c>
      <c r="AE69" s="52">
        <f t="shared" si="3"/>
        <v>1.0000000078581879</v>
      </c>
    </row>
    <row r="70" spans="2:31" s="27" customFormat="1" ht="12.75">
      <c r="B70" s="80">
        <v>64</v>
      </c>
      <c r="C70" s="35" t="s">
        <v>562</v>
      </c>
      <c r="D70" s="3" t="s">
        <v>67</v>
      </c>
      <c r="E70" s="39" t="s">
        <v>68</v>
      </c>
      <c r="F70" s="61">
        <v>26</v>
      </c>
      <c r="G70" s="4" t="s">
        <v>63</v>
      </c>
      <c r="H70" s="14">
        <f>195/17400</f>
        <v>0.011206896551724138</v>
      </c>
      <c r="I70" s="12">
        <f>H70*204639</f>
        <v>2293.3681034482756</v>
      </c>
      <c r="J70" s="11">
        <v>29</v>
      </c>
      <c r="K70" s="4" t="s">
        <v>63</v>
      </c>
      <c r="L70" s="3">
        <f>195/17400</f>
        <v>0.011206896551724138</v>
      </c>
      <c r="M70" s="10">
        <f>L70*1067919</f>
        <v>11968.05775862069</v>
      </c>
      <c r="N70" s="89">
        <f t="shared" si="4"/>
        <v>14261.425862068965</v>
      </c>
      <c r="O70" s="90">
        <f t="shared" si="5"/>
        <v>3.250000025539111</v>
      </c>
      <c r="P70" s="61"/>
      <c r="Q70" s="4"/>
      <c r="R70" s="3"/>
      <c r="S70" s="12"/>
      <c r="T70" s="11"/>
      <c r="U70" s="4"/>
      <c r="V70" s="3"/>
      <c r="W70" s="12"/>
      <c r="X70" s="11"/>
      <c r="Y70" s="4"/>
      <c r="Z70" s="3"/>
      <c r="AA70" s="13"/>
      <c r="AB70" s="106"/>
      <c r="AC70" s="102"/>
      <c r="AD70" s="113">
        <f t="shared" si="2"/>
        <v>14261.425862068965</v>
      </c>
      <c r="AE70" s="52">
        <f t="shared" si="3"/>
        <v>3.250000025539111</v>
      </c>
    </row>
    <row r="71" spans="2:31" s="27" customFormat="1" ht="12.75">
      <c r="B71" s="80">
        <v>65</v>
      </c>
      <c r="C71" s="35" t="s">
        <v>563</v>
      </c>
      <c r="D71" s="3" t="s">
        <v>69</v>
      </c>
      <c r="E71" s="39" t="s">
        <v>70</v>
      </c>
      <c r="F71" s="61">
        <v>27</v>
      </c>
      <c r="G71" s="4" t="s">
        <v>71</v>
      </c>
      <c r="H71" s="14">
        <f>390/17400</f>
        <v>0.022413793103448276</v>
      </c>
      <c r="I71" s="12">
        <f>H71*204639</f>
        <v>4586.736206896551</v>
      </c>
      <c r="J71" s="11">
        <v>30</v>
      </c>
      <c r="K71" s="4" t="s">
        <v>71</v>
      </c>
      <c r="L71" s="3">
        <f>390/17400</f>
        <v>0.022413793103448276</v>
      </c>
      <c r="M71" s="10">
        <f>L71*1067919</f>
        <v>23936.11551724138</v>
      </c>
      <c r="N71" s="89">
        <f t="shared" si="4"/>
        <v>28522.85172413793</v>
      </c>
      <c r="O71" s="90">
        <f t="shared" si="5"/>
        <v>6.500000051078222</v>
      </c>
      <c r="P71" s="61">
        <v>2</v>
      </c>
      <c r="Q71" s="4" t="s">
        <v>357</v>
      </c>
      <c r="R71" s="3">
        <f>8/584</f>
        <v>0.0136986301369863</v>
      </c>
      <c r="S71" s="12">
        <f>R71*550774</f>
        <v>7544.849315068493</v>
      </c>
      <c r="T71" s="11">
        <v>2</v>
      </c>
      <c r="U71" s="4" t="s">
        <v>357</v>
      </c>
      <c r="V71" s="14">
        <f>8/584</f>
        <v>0.0136986301369863</v>
      </c>
      <c r="W71" s="12">
        <f>V71*202</f>
        <v>2.767123287671233</v>
      </c>
      <c r="X71" s="11">
        <v>2</v>
      </c>
      <c r="Y71" s="4" t="s">
        <v>357</v>
      </c>
      <c r="Z71" s="3">
        <f>8/584</f>
        <v>0.0136986301369863</v>
      </c>
      <c r="AA71" s="13">
        <f>Z71*356861</f>
        <v>4888.506849315068</v>
      </c>
      <c r="AB71" s="106">
        <f t="shared" si="0"/>
        <v>12436.123287671231</v>
      </c>
      <c r="AC71" s="102">
        <f t="shared" si="1"/>
        <v>1.9999998854419965</v>
      </c>
      <c r="AD71" s="113">
        <f t="shared" si="2"/>
        <v>40958.97501180917</v>
      </c>
      <c r="AE71" s="52">
        <f t="shared" si="3"/>
        <v>9.334036520744062</v>
      </c>
    </row>
    <row r="72" spans="2:31" s="27" customFormat="1" ht="12.75">
      <c r="B72" s="80">
        <v>66</v>
      </c>
      <c r="C72" s="35" t="s">
        <v>563</v>
      </c>
      <c r="D72" s="3" t="s">
        <v>69</v>
      </c>
      <c r="E72" s="39" t="s">
        <v>70</v>
      </c>
      <c r="F72" s="61"/>
      <c r="G72" s="4"/>
      <c r="H72" s="3"/>
      <c r="I72" s="12"/>
      <c r="J72" s="2"/>
      <c r="K72" s="6"/>
      <c r="L72" s="3"/>
      <c r="M72" s="10"/>
      <c r="N72" s="89"/>
      <c r="O72" s="90"/>
      <c r="P72" s="61">
        <v>114</v>
      </c>
      <c r="Q72" s="4" t="s">
        <v>356</v>
      </c>
      <c r="R72" s="3">
        <f>4/584</f>
        <v>0.00684931506849315</v>
      </c>
      <c r="S72" s="12">
        <f>R72*550774</f>
        <v>3772.4246575342463</v>
      </c>
      <c r="T72" s="11">
        <v>102</v>
      </c>
      <c r="U72" s="4" t="s">
        <v>356</v>
      </c>
      <c r="V72" s="3">
        <f>4/584</f>
        <v>0.00684931506849315</v>
      </c>
      <c r="W72" s="12">
        <f>V72*202</f>
        <v>1.3835616438356164</v>
      </c>
      <c r="X72" s="11">
        <v>85</v>
      </c>
      <c r="Y72" s="4" t="s">
        <v>356</v>
      </c>
      <c r="Z72" s="3">
        <f>4/584</f>
        <v>0.00684931506849315</v>
      </c>
      <c r="AA72" s="13">
        <f>Z72*356861</f>
        <v>2444.253424657534</v>
      </c>
      <c r="AB72" s="106">
        <f aca="true" t="shared" si="13" ref="AB72:AB133">S72+W72+AA72</f>
        <v>6218.0616438356155</v>
      </c>
      <c r="AC72" s="102">
        <f aca="true" t="shared" si="14" ref="AC72:AC133">(S72+W72+AA72)/6218.062</f>
        <v>0.9999999427209982</v>
      </c>
      <c r="AD72" s="113">
        <f aca="true" t="shared" si="15" ref="AD72:AD133">I72+M72+S72+W72+AA72</f>
        <v>6218.0616438356155</v>
      </c>
      <c r="AE72" s="52">
        <f aca="true" t="shared" si="16" ref="AE72:AE133">AD72/4388.131</f>
        <v>1.4170182348329199</v>
      </c>
    </row>
    <row r="73" spans="2:31" s="27" customFormat="1" ht="12.75">
      <c r="B73" s="80">
        <v>67</v>
      </c>
      <c r="C73" s="35" t="s">
        <v>72</v>
      </c>
      <c r="D73" s="3" t="s">
        <v>73</v>
      </c>
      <c r="E73" s="39" t="s">
        <v>74</v>
      </c>
      <c r="F73" s="61">
        <v>28</v>
      </c>
      <c r="G73" s="4" t="s">
        <v>66</v>
      </c>
      <c r="H73" s="14">
        <f>60/17400</f>
        <v>0.0034482758620689655</v>
      </c>
      <c r="I73" s="12">
        <f>H73*204639</f>
        <v>705.6517241379311</v>
      </c>
      <c r="J73" s="11">
        <v>31</v>
      </c>
      <c r="K73" s="4" t="s">
        <v>66</v>
      </c>
      <c r="L73" s="3">
        <f>60/17400</f>
        <v>0.0034482758620689655</v>
      </c>
      <c r="M73" s="10">
        <f>L73*1067919</f>
        <v>3682.4793103448274</v>
      </c>
      <c r="N73" s="89">
        <f aca="true" t="shared" si="17" ref="N73:N133">I73+M73</f>
        <v>4388.131034482758</v>
      </c>
      <c r="O73" s="90">
        <f aca="true" t="shared" si="18" ref="O73:O133">(I73+M73)/4388.131</f>
        <v>1.0000000078581879</v>
      </c>
      <c r="P73" s="61"/>
      <c r="Q73" s="4"/>
      <c r="R73" s="3"/>
      <c r="S73" s="12"/>
      <c r="T73" s="11"/>
      <c r="U73" s="4"/>
      <c r="V73" s="14"/>
      <c r="W73" s="12"/>
      <c r="X73" s="11"/>
      <c r="Y73" s="4"/>
      <c r="Z73" s="3"/>
      <c r="AA73" s="13"/>
      <c r="AB73" s="106"/>
      <c r="AC73" s="102"/>
      <c r="AD73" s="113">
        <f t="shared" si="15"/>
        <v>4388.131034482758</v>
      </c>
      <c r="AE73" s="52">
        <f t="shared" si="16"/>
        <v>1.0000000078581879</v>
      </c>
    </row>
    <row r="74" spans="2:31" s="27" customFormat="1" ht="12.75">
      <c r="B74" s="80">
        <v>68</v>
      </c>
      <c r="C74" s="35" t="s">
        <v>564</v>
      </c>
      <c r="D74" s="3" t="s">
        <v>75</v>
      </c>
      <c r="E74" s="39" t="s">
        <v>76</v>
      </c>
      <c r="F74" s="61">
        <v>29</v>
      </c>
      <c r="G74" s="4" t="s">
        <v>22</v>
      </c>
      <c r="H74" s="3">
        <f>180/17400</f>
        <v>0.010344827586206896</v>
      </c>
      <c r="I74" s="12">
        <f>H74*204639</f>
        <v>2116.955172413793</v>
      </c>
      <c r="J74" s="11">
        <v>32</v>
      </c>
      <c r="K74" s="4" t="s">
        <v>22</v>
      </c>
      <c r="L74" s="3">
        <f>180/17400</f>
        <v>0.010344827586206896</v>
      </c>
      <c r="M74" s="10">
        <f>L74*1067919</f>
        <v>11047.437931034483</v>
      </c>
      <c r="N74" s="89">
        <f t="shared" si="17"/>
        <v>13164.393103448276</v>
      </c>
      <c r="O74" s="90">
        <f t="shared" si="18"/>
        <v>3.000000023574564</v>
      </c>
      <c r="P74" s="61">
        <v>115</v>
      </c>
      <c r="Q74" s="4" t="s">
        <v>440</v>
      </c>
      <c r="R74" s="3">
        <f>240/17520</f>
        <v>0.0136986301369863</v>
      </c>
      <c r="S74" s="12">
        <f>R74*550774</f>
        <v>7544.849315068493</v>
      </c>
      <c r="T74" s="11">
        <v>103</v>
      </c>
      <c r="U74" s="4" t="s">
        <v>440</v>
      </c>
      <c r="V74" s="14">
        <f>240/17520</f>
        <v>0.0136986301369863</v>
      </c>
      <c r="W74" s="12">
        <f>V74*202</f>
        <v>2.767123287671233</v>
      </c>
      <c r="X74" s="11">
        <v>86</v>
      </c>
      <c r="Y74" s="4" t="s">
        <v>440</v>
      </c>
      <c r="Z74" s="3">
        <f>240/17520</f>
        <v>0.0136986301369863</v>
      </c>
      <c r="AA74" s="13">
        <f>Z74*356861</f>
        <v>4888.506849315068</v>
      </c>
      <c r="AB74" s="106">
        <f t="shared" si="13"/>
        <v>12436.123287671231</v>
      </c>
      <c r="AC74" s="102">
        <f t="shared" si="14"/>
        <v>1.9999998854419965</v>
      </c>
      <c r="AD74" s="113">
        <f t="shared" si="15"/>
        <v>25600.51639111951</v>
      </c>
      <c r="AE74" s="52">
        <f t="shared" si="16"/>
        <v>5.834036493240404</v>
      </c>
    </row>
    <row r="75" spans="2:31" s="27" customFormat="1" ht="12.75">
      <c r="B75" s="80">
        <v>69</v>
      </c>
      <c r="C75" s="35" t="s">
        <v>486</v>
      </c>
      <c r="D75" s="3" t="s">
        <v>487</v>
      </c>
      <c r="E75" s="39" t="s">
        <v>488</v>
      </c>
      <c r="F75" s="61"/>
      <c r="G75" s="4"/>
      <c r="H75" s="3"/>
      <c r="I75" s="12"/>
      <c r="J75" s="2"/>
      <c r="K75" s="6"/>
      <c r="L75" s="3"/>
      <c r="M75" s="10"/>
      <c r="N75" s="89"/>
      <c r="O75" s="90"/>
      <c r="P75" s="61">
        <v>183</v>
      </c>
      <c r="Q75" s="4" t="s">
        <v>455</v>
      </c>
      <c r="R75" s="3">
        <f>60/17520</f>
        <v>0.003424657534246575</v>
      </c>
      <c r="S75" s="12">
        <f>R75*550774</f>
        <v>1886.2123287671232</v>
      </c>
      <c r="T75" s="11">
        <v>170</v>
      </c>
      <c r="U75" s="4" t="s">
        <v>455</v>
      </c>
      <c r="V75" s="3">
        <f>60/17520</f>
        <v>0.003424657534246575</v>
      </c>
      <c r="W75" s="12">
        <f>V75*202</f>
        <v>0.6917808219178082</v>
      </c>
      <c r="X75" s="11">
        <v>143</v>
      </c>
      <c r="Y75" s="4" t="s">
        <v>455</v>
      </c>
      <c r="Z75" s="3">
        <f>60/17520</f>
        <v>0.003424657534246575</v>
      </c>
      <c r="AA75" s="13">
        <f>Z75*356861</f>
        <v>1222.126712328767</v>
      </c>
      <c r="AB75" s="106">
        <f t="shared" si="13"/>
        <v>3109.0308219178078</v>
      </c>
      <c r="AC75" s="102">
        <f t="shared" si="14"/>
        <v>0.4999999713604991</v>
      </c>
      <c r="AD75" s="113">
        <f t="shared" si="15"/>
        <v>3109.0308219178078</v>
      </c>
      <c r="AE75" s="52">
        <f t="shared" si="16"/>
        <v>0.7085091174164599</v>
      </c>
    </row>
    <row r="76" spans="2:31" s="27" customFormat="1" ht="12.75">
      <c r="B76" s="80">
        <v>70</v>
      </c>
      <c r="C76" s="35" t="s">
        <v>425</v>
      </c>
      <c r="D76" s="3" t="s">
        <v>32</v>
      </c>
      <c r="E76" s="39" t="s">
        <v>426</v>
      </c>
      <c r="F76" s="61"/>
      <c r="G76" s="4"/>
      <c r="H76" s="3"/>
      <c r="I76" s="12"/>
      <c r="J76" s="2"/>
      <c r="K76" s="6"/>
      <c r="L76" s="3"/>
      <c r="M76" s="10"/>
      <c r="N76" s="89"/>
      <c r="O76" s="90"/>
      <c r="P76" s="61">
        <v>88</v>
      </c>
      <c r="Q76" s="4" t="s">
        <v>424</v>
      </c>
      <c r="R76" s="3">
        <f>2/10512</f>
        <v>0.0001902587519025875</v>
      </c>
      <c r="S76" s="12">
        <f>R76*550774</f>
        <v>104.78957382039573</v>
      </c>
      <c r="T76" s="11">
        <v>79</v>
      </c>
      <c r="U76" s="4" t="s">
        <v>424</v>
      </c>
      <c r="V76" s="3">
        <f>2/10512</f>
        <v>0.0001902587519025875</v>
      </c>
      <c r="W76" s="12">
        <f>V76*202</f>
        <v>0.03843226788432268</v>
      </c>
      <c r="X76" s="11">
        <v>61</v>
      </c>
      <c r="Y76" s="4" t="s">
        <v>424</v>
      </c>
      <c r="Z76" s="3">
        <f>2/10512</f>
        <v>0.0001902587519025875</v>
      </c>
      <c r="AA76" s="13">
        <f>Z76*356861</f>
        <v>67.89592846270928</v>
      </c>
      <c r="AB76" s="106">
        <f t="shared" si="13"/>
        <v>172.72393455098933</v>
      </c>
      <c r="AC76" s="102">
        <f t="shared" si="14"/>
        <v>0.027777776186694397</v>
      </c>
      <c r="AD76" s="113">
        <f t="shared" si="15"/>
        <v>172.72393455098933</v>
      </c>
      <c r="AE76" s="52">
        <f t="shared" si="16"/>
        <v>0.039361617634247774</v>
      </c>
    </row>
    <row r="77" spans="2:31" s="27" customFormat="1" ht="12.75">
      <c r="B77" s="80">
        <v>71</v>
      </c>
      <c r="C77" s="35" t="s">
        <v>306</v>
      </c>
      <c r="D77" s="3" t="s">
        <v>77</v>
      </c>
      <c r="E77" s="39" t="s">
        <v>78</v>
      </c>
      <c r="F77" s="61">
        <v>30</v>
      </c>
      <c r="G77" s="4" t="s">
        <v>79</v>
      </c>
      <c r="H77" s="14">
        <f>100/17400</f>
        <v>0.005747126436781609</v>
      </c>
      <c r="I77" s="12">
        <f>H77*204639</f>
        <v>1176.0862068965516</v>
      </c>
      <c r="J77" s="11">
        <v>33</v>
      </c>
      <c r="K77" s="4" t="s">
        <v>307</v>
      </c>
      <c r="L77" s="3">
        <f>96/17400</f>
        <v>0.005517241379310344</v>
      </c>
      <c r="M77" s="10">
        <f>L77*1067919</f>
        <v>5891.966896551724</v>
      </c>
      <c r="N77" s="89">
        <f t="shared" si="17"/>
        <v>7068.053103448276</v>
      </c>
      <c r="O77" s="90">
        <f t="shared" si="18"/>
        <v>1.610720624212968</v>
      </c>
      <c r="P77" s="61"/>
      <c r="Q77" s="4"/>
      <c r="R77" s="3"/>
      <c r="S77" s="12"/>
      <c r="T77" s="11"/>
      <c r="U77" s="4"/>
      <c r="V77" s="3"/>
      <c r="W77" s="12"/>
      <c r="X77" s="11"/>
      <c r="Y77" s="4"/>
      <c r="Z77" s="3"/>
      <c r="AA77" s="13"/>
      <c r="AB77" s="106"/>
      <c r="AC77" s="102"/>
      <c r="AD77" s="113">
        <f t="shared" si="15"/>
        <v>7068.053103448276</v>
      </c>
      <c r="AE77" s="52">
        <f t="shared" si="16"/>
        <v>1.610720624212968</v>
      </c>
    </row>
    <row r="78" spans="2:31" s="27" customFormat="1" ht="12.75">
      <c r="B78" s="80">
        <v>72</v>
      </c>
      <c r="C78" s="35" t="s">
        <v>565</v>
      </c>
      <c r="D78" s="3" t="s">
        <v>364</v>
      </c>
      <c r="E78" s="39" t="s">
        <v>80</v>
      </c>
      <c r="F78" s="61">
        <v>31</v>
      </c>
      <c r="G78" s="4" t="s">
        <v>81</v>
      </c>
      <c r="H78" s="14">
        <f>210/17400</f>
        <v>0.01206896551724138</v>
      </c>
      <c r="I78" s="12">
        <f>H78*204639</f>
        <v>2469.7810344827585</v>
      </c>
      <c r="J78" s="11">
        <v>35</v>
      </c>
      <c r="K78" s="4" t="s">
        <v>81</v>
      </c>
      <c r="L78" s="3">
        <f>210/17400</f>
        <v>0.01206896551724138</v>
      </c>
      <c r="M78" s="10">
        <f>L78*1067919</f>
        <v>12888.677586206897</v>
      </c>
      <c r="N78" s="89">
        <f t="shared" si="17"/>
        <v>15358.458620689657</v>
      </c>
      <c r="O78" s="90">
        <f t="shared" si="18"/>
        <v>3.5000000275036585</v>
      </c>
      <c r="P78" s="61">
        <v>25</v>
      </c>
      <c r="Q78" s="4" t="s">
        <v>363</v>
      </c>
      <c r="R78" s="3">
        <f>20/2920</f>
        <v>0.00684931506849315</v>
      </c>
      <c r="S78" s="12">
        <f>R78*550774</f>
        <v>3772.4246575342463</v>
      </c>
      <c r="T78" s="11">
        <v>19</v>
      </c>
      <c r="U78" s="4" t="s">
        <v>363</v>
      </c>
      <c r="V78" s="3">
        <f>20/2920</f>
        <v>0.00684931506849315</v>
      </c>
      <c r="W78" s="12">
        <f>V78*202</f>
        <v>1.3835616438356164</v>
      </c>
      <c r="X78" s="11">
        <v>10</v>
      </c>
      <c r="Y78" s="4" t="s">
        <v>363</v>
      </c>
      <c r="Z78" s="3">
        <f>20/2920</f>
        <v>0.00684931506849315</v>
      </c>
      <c r="AA78" s="13">
        <f>Z78*356861</f>
        <v>2444.253424657534</v>
      </c>
      <c r="AB78" s="106">
        <f t="shared" si="13"/>
        <v>6218.0616438356155</v>
      </c>
      <c r="AC78" s="102">
        <f t="shared" si="14"/>
        <v>0.9999999427209982</v>
      </c>
      <c r="AD78" s="113">
        <f t="shared" si="15"/>
        <v>21576.520264525276</v>
      </c>
      <c r="AE78" s="52">
        <f t="shared" si="16"/>
        <v>4.917018262336579</v>
      </c>
    </row>
    <row r="79" spans="2:31" s="27" customFormat="1" ht="12.75">
      <c r="B79" s="80">
        <v>73</v>
      </c>
      <c r="C79" s="35" t="s">
        <v>565</v>
      </c>
      <c r="D79" s="3" t="s">
        <v>82</v>
      </c>
      <c r="E79" s="39" t="s">
        <v>83</v>
      </c>
      <c r="F79" s="61">
        <v>32</v>
      </c>
      <c r="G79" s="4" t="s">
        <v>84</v>
      </c>
      <c r="H79" s="14">
        <f>630/17400</f>
        <v>0.03620689655172414</v>
      </c>
      <c r="I79" s="12">
        <f>H79*204639</f>
        <v>7409.343103448276</v>
      </c>
      <c r="J79" s="11">
        <v>36</v>
      </c>
      <c r="K79" s="4" t="s">
        <v>84</v>
      </c>
      <c r="L79" s="3">
        <f>630/17400</f>
        <v>0.03620689655172414</v>
      </c>
      <c r="M79" s="10">
        <f>L79*1067919</f>
        <v>38666.03275862069</v>
      </c>
      <c r="N79" s="89">
        <f t="shared" si="17"/>
        <v>46075.37586206897</v>
      </c>
      <c r="O79" s="90">
        <f t="shared" si="18"/>
        <v>10.500000082510974</v>
      </c>
      <c r="P79" s="61"/>
      <c r="Q79" s="4"/>
      <c r="R79" s="3"/>
      <c r="S79" s="12"/>
      <c r="T79" s="11">
        <v>10</v>
      </c>
      <c r="U79" s="4" t="s">
        <v>357</v>
      </c>
      <c r="V79" s="14">
        <f>8/584</f>
        <v>0.0136986301369863</v>
      </c>
      <c r="W79" s="12">
        <f>V79*202</f>
        <v>2.767123287671233</v>
      </c>
      <c r="X79" s="11"/>
      <c r="Y79" s="4"/>
      <c r="Z79" s="3"/>
      <c r="AA79" s="13"/>
      <c r="AB79" s="106">
        <f t="shared" si="13"/>
        <v>2.767123287671233</v>
      </c>
      <c r="AC79" s="102">
        <f t="shared" si="14"/>
        <v>0.00044501378205479984</v>
      </c>
      <c r="AD79" s="113">
        <f t="shared" si="15"/>
        <v>46078.142985356644</v>
      </c>
      <c r="AE79" s="52">
        <f t="shared" si="16"/>
        <v>10.500630675191019</v>
      </c>
    </row>
    <row r="80" spans="2:31" s="27" customFormat="1" ht="12.75">
      <c r="B80" s="80">
        <v>74</v>
      </c>
      <c r="C80" s="35" t="s">
        <v>565</v>
      </c>
      <c r="D80" s="3" t="s">
        <v>82</v>
      </c>
      <c r="E80" s="39" t="s">
        <v>83</v>
      </c>
      <c r="F80" s="61"/>
      <c r="G80" s="4"/>
      <c r="H80" s="3"/>
      <c r="I80" s="12"/>
      <c r="J80" s="2"/>
      <c r="K80" s="6"/>
      <c r="L80" s="3"/>
      <c r="M80" s="10"/>
      <c r="N80" s="89"/>
      <c r="O80" s="90"/>
      <c r="P80" s="61">
        <v>157</v>
      </c>
      <c r="Q80" s="4" t="s">
        <v>445</v>
      </c>
      <c r="R80" s="3">
        <f>360/17520</f>
        <v>0.02054794520547945</v>
      </c>
      <c r="S80" s="12">
        <f>R80*550774</f>
        <v>11317.27397260274</v>
      </c>
      <c r="T80" s="11">
        <v>104</v>
      </c>
      <c r="U80" s="4" t="s">
        <v>445</v>
      </c>
      <c r="V80" s="3">
        <f>360/17520</f>
        <v>0.02054794520547945</v>
      </c>
      <c r="W80" s="12">
        <f>V80*202</f>
        <v>4.1506849315068495</v>
      </c>
      <c r="X80" s="11">
        <v>87</v>
      </c>
      <c r="Y80" s="4" t="s">
        <v>445</v>
      </c>
      <c r="Z80" s="3">
        <f>360/17520</f>
        <v>0.02054794520547945</v>
      </c>
      <c r="AA80" s="13">
        <f>Z80*356861</f>
        <v>7332.760273972603</v>
      </c>
      <c r="AB80" s="106">
        <f t="shared" si="13"/>
        <v>18654.184931506847</v>
      </c>
      <c r="AC80" s="102">
        <f t="shared" si="14"/>
        <v>2.9999998281629945</v>
      </c>
      <c r="AD80" s="113">
        <f t="shared" si="15"/>
        <v>18654.184931506847</v>
      </c>
      <c r="AE80" s="52">
        <f t="shared" si="16"/>
        <v>4.25105470449876</v>
      </c>
    </row>
    <row r="81" spans="2:31" s="27" customFormat="1" ht="12.75">
      <c r="B81" s="80">
        <v>75</v>
      </c>
      <c r="C81" s="35" t="s">
        <v>565</v>
      </c>
      <c r="D81" s="3" t="s">
        <v>82</v>
      </c>
      <c r="E81" s="39" t="s">
        <v>83</v>
      </c>
      <c r="F81" s="61"/>
      <c r="G81" s="4"/>
      <c r="H81" s="3"/>
      <c r="I81" s="12"/>
      <c r="J81" s="2"/>
      <c r="K81" s="6"/>
      <c r="L81" s="3"/>
      <c r="M81" s="10"/>
      <c r="N81" s="89"/>
      <c r="O81" s="90"/>
      <c r="P81" s="61">
        <v>116</v>
      </c>
      <c r="Q81" s="4" t="s">
        <v>445</v>
      </c>
      <c r="R81" s="3">
        <f>360/17520</f>
        <v>0.02054794520547945</v>
      </c>
      <c r="S81" s="12">
        <f>R81*550774</f>
        <v>11317.27397260274</v>
      </c>
      <c r="T81" s="11">
        <v>146</v>
      </c>
      <c r="U81" s="4" t="s">
        <v>445</v>
      </c>
      <c r="V81" s="3">
        <f>360/17520</f>
        <v>0.02054794520547945</v>
      </c>
      <c r="W81" s="12">
        <f>V81*202</f>
        <v>4.1506849315068495</v>
      </c>
      <c r="X81" s="11">
        <v>118</v>
      </c>
      <c r="Y81" s="4" t="s">
        <v>445</v>
      </c>
      <c r="Z81" s="3">
        <f>360/17520</f>
        <v>0.02054794520547945</v>
      </c>
      <c r="AA81" s="13">
        <f>Z81*356861</f>
        <v>7332.760273972603</v>
      </c>
      <c r="AB81" s="106">
        <f t="shared" si="13"/>
        <v>18654.184931506847</v>
      </c>
      <c r="AC81" s="102">
        <f t="shared" si="14"/>
        <v>2.9999998281629945</v>
      </c>
      <c r="AD81" s="113">
        <f t="shared" si="15"/>
        <v>18654.184931506847</v>
      </c>
      <c r="AE81" s="52">
        <f t="shared" si="16"/>
        <v>4.25105470449876</v>
      </c>
    </row>
    <row r="82" spans="2:31" s="27" customFormat="1" ht="12.75">
      <c r="B82" s="80">
        <v>77</v>
      </c>
      <c r="C82" s="35" t="s">
        <v>566</v>
      </c>
      <c r="D82" s="3" t="s">
        <v>309</v>
      </c>
      <c r="E82" s="39" t="s">
        <v>308</v>
      </c>
      <c r="F82" s="61"/>
      <c r="G82" s="4"/>
      <c r="H82" s="14"/>
      <c r="I82" s="12"/>
      <c r="J82" s="11">
        <v>37</v>
      </c>
      <c r="K82" s="4" t="s">
        <v>94</v>
      </c>
      <c r="L82" s="3">
        <f>135/17400</f>
        <v>0.007758620689655172</v>
      </c>
      <c r="M82" s="10">
        <f>L82*1067919</f>
        <v>8285.578448275863</v>
      </c>
      <c r="N82" s="89">
        <f t="shared" si="17"/>
        <v>8285.578448275863</v>
      </c>
      <c r="O82" s="90">
        <f t="shared" si="18"/>
        <v>1.8881793748354054</v>
      </c>
      <c r="P82" s="61"/>
      <c r="Q82" s="4"/>
      <c r="R82" s="3"/>
      <c r="S82" s="12"/>
      <c r="T82" s="11"/>
      <c r="U82" s="4"/>
      <c r="V82" s="3"/>
      <c r="W82" s="12"/>
      <c r="X82" s="11"/>
      <c r="Y82" s="4"/>
      <c r="Z82" s="3"/>
      <c r="AA82" s="13"/>
      <c r="AB82" s="106"/>
      <c r="AC82" s="102"/>
      <c r="AD82" s="113">
        <f t="shared" si="15"/>
        <v>8285.578448275863</v>
      </c>
      <c r="AE82" s="52">
        <f t="shared" si="16"/>
        <v>1.8881793748354054</v>
      </c>
    </row>
    <row r="83" spans="2:31" s="27" customFormat="1" ht="12.75">
      <c r="B83" s="80">
        <v>78</v>
      </c>
      <c r="C83" s="35" t="s">
        <v>85</v>
      </c>
      <c r="D83" s="3" t="s">
        <v>86</v>
      </c>
      <c r="E83" s="39" t="s">
        <v>87</v>
      </c>
      <c r="F83" s="61">
        <v>33</v>
      </c>
      <c r="G83" s="4" t="s">
        <v>81</v>
      </c>
      <c r="H83" s="14">
        <f>210/17400</f>
        <v>0.01206896551724138</v>
      </c>
      <c r="I83" s="12">
        <f>H83*204639</f>
        <v>2469.7810344827585</v>
      </c>
      <c r="J83" s="11">
        <v>34</v>
      </c>
      <c r="K83" s="4" t="s">
        <v>81</v>
      </c>
      <c r="L83" s="3">
        <f>210/17400</f>
        <v>0.01206896551724138</v>
      </c>
      <c r="M83" s="10">
        <f>L83*1067919</f>
        <v>12888.677586206897</v>
      </c>
      <c r="N83" s="89">
        <f t="shared" si="17"/>
        <v>15358.458620689657</v>
      </c>
      <c r="O83" s="90">
        <f t="shared" si="18"/>
        <v>3.5000000275036585</v>
      </c>
      <c r="P83" s="61">
        <v>24</v>
      </c>
      <c r="Q83" s="4" t="s">
        <v>363</v>
      </c>
      <c r="R83" s="3">
        <f>20/2920</f>
        <v>0.00684931506849315</v>
      </c>
      <c r="S83" s="12">
        <f>R83*550774</f>
        <v>3772.4246575342463</v>
      </c>
      <c r="T83" s="11">
        <v>18</v>
      </c>
      <c r="U83" s="4" t="s">
        <v>363</v>
      </c>
      <c r="V83" s="3">
        <f>20/2920</f>
        <v>0.00684931506849315</v>
      </c>
      <c r="W83" s="12">
        <f>V83*202</f>
        <v>1.3835616438356164</v>
      </c>
      <c r="X83" s="11">
        <v>9</v>
      </c>
      <c r="Y83" s="4" t="s">
        <v>363</v>
      </c>
      <c r="Z83" s="3">
        <f>20/2920</f>
        <v>0.00684931506849315</v>
      </c>
      <c r="AA83" s="13">
        <f>Z83*356861</f>
        <v>2444.253424657534</v>
      </c>
      <c r="AB83" s="106">
        <f t="shared" si="13"/>
        <v>6218.0616438356155</v>
      </c>
      <c r="AC83" s="102">
        <f t="shared" si="14"/>
        <v>0.9999999427209982</v>
      </c>
      <c r="AD83" s="113">
        <f t="shared" si="15"/>
        <v>21576.520264525276</v>
      </c>
      <c r="AE83" s="52">
        <f t="shared" si="16"/>
        <v>4.917018262336579</v>
      </c>
    </row>
    <row r="84" spans="2:31" s="27" customFormat="1" ht="12.75">
      <c r="B84" s="80">
        <v>79</v>
      </c>
      <c r="C84" s="35" t="s">
        <v>396</v>
      </c>
      <c r="D84" s="3" t="s">
        <v>397</v>
      </c>
      <c r="E84" s="39" t="s">
        <v>398</v>
      </c>
      <c r="F84" s="61"/>
      <c r="G84" s="4"/>
      <c r="H84" s="3"/>
      <c r="I84" s="12"/>
      <c r="J84" s="11"/>
      <c r="K84" s="4"/>
      <c r="L84" s="3"/>
      <c r="M84" s="10"/>
      <c r="N84" s="89"/>
      <c r="O84" s="90"/>
      <c r="P84" s="61">
        <v>73</v>
      </c>
      <c r="Q84" s="4" t="s">
        <v>356</v>
      </c>
      <c r="R84" s="3">
        <f>4/584</f>
        <v>0.00684931506849315</v>
      </c>
      <c r="S84" s="12">
        <f>R84*550774</f>
        <v>3772.4246575342463</v>
      </c>
      <c r="T84" s="2">
        <v>65</v>
      </c>
      <c r="U84" s="6" t="s">
        <v>356</v>
      </c>
      <c r="V84" s="3">
        <f>4/584</f>
        <v>0.00684931506849315</v>
      </c>
      <c r="W84" s="12">
        <f>V84*202</f>
        <v>1.3835616438356164</v>
      </c>
      <c r="X84" s="11">
        <v>47</v>
      </c>
      <c r="Y84" s="4" t="s">
        <v>356</v>
      </c>
      <c r="Z84" s="3">
        <f>4/584</f>
        <v>0.00684931506849315</v>
      </c>
      <c r="AA84" s="13">
        <f>Z84*356861</f>
        <v>2444.253424657534</v>
      </c>
      <c r="AB84" s="106">
        <f t="shared" si="13"/>
        <v>6218.0616438356155</v>
      </c>
      <c r="AC84" s="102">
        <f t="shared" si="14"/>
        <v>0.9999999427209982</v>
      </c>
      <c r="AD84" s="113">
        <f t="shared" si="15"/>
        <v>6218.0616438356155</v>
      </c>
      <c r="AE84" s="52">
        <f t="shared" si="16"/>
        <v>1.4170182348329199</v>
      </c>
    </row>
    <row r="85" spans="2:31" s="27" customFormat="1" ht="12.75">
      <c r="B85" s="80">
        <v>80</v>
      </c>
      <c r="C85" s="35" t="s">
        <v>88</v>
      </c>
      <c r="D85" s="3" t="s">
        <v>200</v>
      </c>
      <c r="E85" s="39" t="s">
        <v>201</v>
      </c>
      <c r="F85" s="61">
        <v>98</v>
      </c>
      <c r="G85" s="4" t="s">
        <v>34</v>
      </c>
      <c r="H85" s="14">
        <f>120/17400</f>
        <v>0.006896551724137931</v>
      </c>
      <c r="I85" s="12">
        <f>H85*204639</f>
        <v>1411.3034482758621</v>
      </c>
      <c r="J85" s="11"/>
      <c r="K85" s="4"/>
      <c r="L85" s="3"/>
      <c r="M85" s="10"/>
      <c r="N85" s="89">
        <f t="shared" si="17"/>
        <v>1411.3034482758621</v>
      </c>
      <c r="O85" s="90">
        <f t="shared" si="18"/>
        <v>0.3216183491960158</v>
      </c>
      <c r="P85" s="61">
        <v>164</v>
      </c>
      <c r="Q85" s="4" t="s">
        <v>202</v>
      </c>
      <c r="R85" s="3">
        <f>120/17520</f>
        <v>0.00684931506849315</v>
      </c>
      <c r="S85" s="12">
        <f>R85*550774</f>
        <v>3772.4246575342463</v>
      </c>
      <c r="T85" s="11">
        <v>153</v>
      </c>
      <c r="U85" s="4" t="s">
        <v>202</v>
      </c>
      <c r="V85" s="3">
        <f>120/17520</f>
        <v>0.00684931506849315</v>
      </c>
      <c r="W85" s="12">
        <f>V85*202</f>
        <v>1.3835616438356164</v>
      </c>
      <c r="X85" s="11">
        <v>125</v>
      </c>
      <c r="Y85" s="4" t="s">
        <v>202</v>
      </c>
      <c r="Z85" s="3">
        <f>120/17520</f>
        <v>0.00684931506849315</v>
      </c>
      <c r="AA85" s="13">
        <f>Z85*356861</f>
        <v>2444.253424657534</v>
      </c>
      <c r="AB85" s="106">
        <f t="shared" si="13"/>
        <v>6218.0616438356155</v>
      </c>
      <c r="AC85" s="102">
        <f t="shared" si="14"/>
        <v>0.9999999427209982</v>
      </c>
      <c r="AD85" s="113">
        <f t="shared" si="15"/>
        <v>7629.365092111479</v>
      </c>
      <c r="AE85" s="52">
        <f t="shared" si="16"/>
        <v>1.7386365840289357</v>
      </c>
    </row>
    <row r="86" spans="2:31" s="27" customFormat="1" ht="12.75">
      <c r="B86" s="80">
        <v>81</v>
      </c>
      <c r="C86" s="35" t="s">
        <v>567</v>
      </c>
      <c r="D86" s="3" t="s">
        <v>89</v>
      </c>
      <c r="E86" s="39" t="s">
        <v>90</v>
      </c>
      <c r="F86" s="61">
        <v>35</v>
      </c>
      <c r="G86" s="4" t="s">
        <v>91</v>
      </c>
      <c r="H86" s="14">
        <f>70/17400</f>
        <v>0.004022988505747126</v>
      </c>
      <c r="I86" s="12">
        <f>H86*204639</f>
        <v>823.2603448275862</v>
      </c>
      <c r="J86" s="11">
        <v>38</v>
      </c>
      <c r="K86" s="4" t="s">
        <v>310</v>
      </c>
      <c r="L86" s="3">
        <f>66/17400</f>
        <v>0.003793103448275862</v>
      </c>
      <c r="M86" s="10">
        <f>L86*1067919</f>
        <v>4050.7272413793103</v>
      </c>
      <c r="N86" s="89">
        <f t="shared" si="17"/>
        <v>4873.987586206897</v>
      </c>
      <c r="O86" s="90">
        <f t="shared" si="18"/>
        <v>1.110720620283874</v>
      </c>
      <c r="P86" s="61">
        <v>118</v>
      </c>
      <c r="Q86" s="4" t="s">
        <v>446</v>
      </c>
      <c r="R86" s="3">
        <f>40/17520</f>
        <v>0.00228310502283105</v>
      </c>
      <c r="S86" s="12">
        <f>R86*550774</f>
        <v>1257.4748858447488</v>
      </c>
      <c r="T86" s="11">
        <v>106</v>
      </c>
      <c r="U86" s="4" t="s">
        <v>446</v>
      </c>
      <c r="V86" s="3">
        <f>40/17520</f>
        <v>0.00228310502283105</v>
      </c>
      <c r="W86" s="12">
        <f>V86*202</f>
        <v>0.4611872146118721</v>
      </c>
      <c r="X86" s="11">
        <v>88</v>
      </c>
      <c r="Y86" s="4" t="s">
        <v>446</v>
      </c>
      <c r="Z86" s="3">
        <f>40/17520</f>
        <v>0.00228310502283105</v>
      </c>
      <c r="AA86" s="13">
        <f>Z86*356861</f>
        <v>814.7511415525114</v>
      </c>
      <c r="AB86" s="106">
        <f t="shared" si="13"/>
        <v>2072.687214611872</v>
      </c>
      <c r="AC86" s="102">
        <f t="shared" si="14"/>
        <v>0.3333333142403328</v>
      </c>
      <c r="AD86" s="113">
        <f t="shared" si="15"/>
        <v>6946.674800818769</v>
      </c>
      <c r="AE86" s="52">
        <f t="shared" si="16"/>
        <v>1.5830600318948473</v>
      </c>
    </row>
    <row r="87" spans="2:31" s="27" customFormat="1" ht="12.75">
      <c r="B87" s="80">
        <v>82</v>
      </c>
      <c r="C87" s="35" t="s">
        <v>568</v>
      </c>
      <c r="D87" s="3" t="s">
        <v>96</v>
      </c>
      <c r="E87" s="39" t="s">
        <v>311</v>
      </c>
      <c r="F87" s="61"/>
      <c r="G87" s="4"/>
      <c r="H87" s="14"/>
      <c r="I87" s="12"/>
      <c r="J87" s="11">
        <v>40</v>
      </c>
      <c r="K87" s="4" t="s">
        <v>34</v>
      </c>
      <c r="L87" s="3">
        <f>120/17400</f>
        <v>0.006896551724137931</v>
      </c>
      <c r="M87" s="10">
        <f>L87*1067919</f>
        <v>7364.958620689655</v>
      </c>
      <c r="N87" s="89">
        <f t="shared" si="17"/>
        <v>7364.958620689655</v>
      </c>
      <c r="O87" s="90">
        <f t="shared" si="18"/>
        <v>1.6783816665203601</v>
      </c>
      <c r="P87" s="61"/>
      <c r="Q87" s="4"/>
      <c r="R87" s="3"/>
      <c r="S87" s="12"/>
      <c r="T87" s="11"/>
      <c r="U87" s="4"/>
      <c r="V87" s="3"/>
      <c r="W87" s="12"/>
      <c r="X87" s="11"/>
      <c r="Y87" s="4"/>
      <c r="Z87" s="3"/>
      <c r="AA87" s="13"/>
      <c r="AB87" s="106"/>
      <c r="AC87" s="102"/>
      <c r="AD87" s="113">
        <f t="shared" si="15"/>
        <v>7364.958620689655</v>
      </c>
      <c r="AE87" s="52">
        <f t="shared" si="16"/>
        <v>1.6783816665203601</v>
      </c>
    </row>
    <row r="88" spans="2:31" s="27" customFormat="1" ht="12.75">
      <c r="B88" s="80">
        <v>83</v>
      </c>
      <c r="C88" s="35" t="s">
        <v>215</v>
      </c>
      <c r="D88" s="3" t="s">
        <v>216</v>
      </c>
      <c r="E88" s="39" t="s">
        <v>217</v>
      </c>
      <c r="F88" s="61">
        <v>104</v>
      </c>
      <c r="G88" s="4" t="s">
        <v>91</v>
      </c>
      <c r="H88" s="14">
        <f>70/17400</f>
        <v>0.004022988505747126</v>
      </c>
      <c r="I88" s="12">
        <f>H88*204639</f>
        <v>823.2603448275862</v>
      </c>
      <c r="J88" s="11"/>
      <c r="K88" s="4"/>
      <c r="L88" s="3"/>
      <c r="M88" s="10"/>
      <c r="N88" s="89">
        <f t="shared" si="17"/>
        <v>823.2603448275862</v>
      </c>
      <c r="O88" s="90">
        <f t="shared" si="18"/>
        <v>0.18761070369767588</v>
      </c>
      <c r="P88" s="61">
        <v>182</v>
      </c>
      <c r="Q88" s="4" t="s">
        <v>446</v>
      </c>
      <c r="R88" s="3">
        <f>40/17520</f>
        <v>0.00228310502283105</v>
      </c>
      <c r="S88" s="12">
        <f>R88*550774</f>
        <v>1257.4748858447488</v>
      </c>
      <c r="T88" s="11">
        <v>169</v>
      </c>
      <c r="U88" s="4" t="s">
        <v>446</v>
      </c>
      <c r="V88" s="3">
        <f>40/17520</f>
        <v>0.00228310502283105</v>
      </c>
      <c r="W88" s="12">
        <f>V88*202</f>
        <v>0.4611872146118721</v>
      </c>
      <c r="X88" s="11"/>
      <c r="Y88" s="4"/>
      <c r="Z88" s="3"/>
      <c r="AA88" s="13"/>
      <c r="AB88" s="106">
        <f t="shared" si="13"/>
        <v>1257.9360730593608</v>
      </c>
      <c r="AC88" s="102">
        <f t="shared" si="14"/>
        <v>0.20230355906058203</v>
      </c>
      <c r="AD88" s="113">
        <f t="shared" si="15"/>
        <v>2081.196417886947</v>
      </c>
      <c r="AE88" s="52">
        <f t="shared" si="16"/>
        <v>0.4742785522781674</v>
      </c>
    </row>
    <row r="89" spans="2:31" s="27" customFormat="1" ht="12.75">
      <c r="B89" s="80">
        <v>84</v>
      </c>
      <c r="C89" s="35" t="s">
        <v>569</v>
      </c>
      <c r="D89" s="3" t="s">
        <v>92</v>
      </c>
      <c r="E89" s="39" t="s">
        <v>93</v>
      </c>
      <c r="F89" s="61">
        <v>36</v>
      </c>
      <c r="G89" s="4" t="s">
        <v>94</v>
      </c>
      <c r="H89" s="14">
        <f>135/17400</f>
        <v>0.007758620689655172</v>
      </c>
      <c r="I89" s="12">
        <f>H89*204639</f>
        <v>1587.7163793103448</v>
      </c>
      <c r="J89" s="11">
        <v>42</v>
      </c>
      <c r="K89" s="4" t="s">
        <v>313</v>
      </c>
      <c r="L89" s="14">
        <f>138/17400</f>
        <v>0.007931034482758621</v>
      </c>
      <c r="M89" s="10">
        <f>L89*1067919</f>
        <v>8469.702413793104</v>
      </c>
      <c r="N89" s="89">
        <f t="shared" si="17"/>
        <v>10057.418793103448</v>
      </c>
      <c r="O89" s="90">
        <f t="shared" si="18"/>
        <v>2.291959559343932</v>
      </c>
      <c r="P89" s="61">
        <v>58</v>
      </c>
      <c r="Q89" s="4" t="s">
        <v>386</v>
      </c>
      <c r="R89" s="14">
        <f>16/2336</f>
        <v>0.00684931506849315</v>
      </c>
      <c r="S89" s="12">
        <f>R89*550774</f>
        <v>3772.4246575342463</v>
      </c>
      <c r="T89" s="11">
        <v>51</v>
      </c>
      <c r="U89" s="4" t="s">
        <v>521</v>
      </c>
      <c r="V89" s="14">
        <f>4/2336</f>
        <v>0.0017123287671232876</v>
      </c>
      <c r="W89" s="12">
        <f>V89*202</f>
        <v>0.3458904109589041</v>
      </c>
      <c r="X89" s="11">
        <v>33</v>
      </c>
      <c r="Y89" s="4" t="s">
        <v>386</v>
      </c>
      <c r="Z89" s="3">
        <f>16/2336</f>
        <v>0.00684931506849315</v>
      </c>
      <c r="AA89" s="13">
        <f>Z89*356861</f>
        <v>2444.253424657534</v>
      </c>
      <c r="AB89" s="106">
        <f t="shared" si="13"/>
        <v>6217.023972602739</v>
      </c>
      <c r="AC89" s="102">
        <f t="shared" si="14"/>
        <v>0.9998330625527277</v>
      </c>
      <c r="AD89" s="113">
        <f t="shared" si="15"/>
        <v>16274.442765706188</v>
      </c>
      <c r="AE89" s="52">
        <f t="shared" si="16"/>
        <v>3.7087413219218357</v>
      </c>
    </row>
    <row r="90" spans="2:31" s="27" customFormat="1" ht="12.75">
      <c r="B90" s="80">
        <v>85</v>
      </c>
      <c r="C90" s="35" t="s">
        <v>570</v>
      </c>
      <c r="D90" s="3" t="s">
        <v>626</v>
      </c>
      <c r="E90" s="39" t="s">
        <v>95</v>
      </c>
      <c r="F90" s="61">
        <v>37</v>
      </c>
      <c r="G90" s="4" t="s">
        <v>94</v>
      </c>
      <c r="H90" s="14">
        <f>135/17400</f>
        <v>0.007758620689655172</v>
      </c>
      <c r="I90" s="12">
        <f>H90*204639</f>
        <v>1587.7163793103448</v>
      </c>
      <c r="J90" s="11">
        <v>43</v>
      </c>
      <c r="K90" s="4" t="s">
        <v>314</v>
      </c>
      <c r="L90" s="3">
        <f>132/17400</f>
        <v>0.007586206896551724</v>
      </c>
      <c r="M90" s="10">
        <f>L90*1067919</f>
        <v>8101.4544827586205</v>
      </c>
      <c r="N90" s="89">
        <f t="shared" si="17"/>
        <v>9689.170862068966</v>
      </c>
      <c r="O90" s="90">
        <f t="shared" si="18"/>
        <v>2.208040476017914</v>
      </c>
      <c r="P90" s="61">
        <v>57</v>
      </c>
      <c r="Q90" s="4" t="s">
        <v>386</v>
      </c>
      <c r="R90" s="3">
        <f>16/2336</f>
        <v>0.00684931506849315</v>
      </c>
      <c r="S90" s="12">
        <f>R90*550774</f>
        <v>3772.4246575342463</v>
      </c>
      <c r="T90" s="11">
        <v>50</v>
      </c>
      <c r="U90" s="4" t="s">
        <v>520</v>
      </c>
      <c r="V90" s="3">
        <f>8/2336</f>
        <v>0.003424657534246575</v>
      </c>
      <c r="W90" s="12">
        <f>V90*202</f>
        <v>0.6917808219178082</v>
      </c>
      <c r="X90" s="11">
        <v>32</v>
      </c>
      <c r="Y90" s="4" t="s">
        <v>386</v>
      </c>
      <c r="Z90" s="3">
        <f>16/2336</f>
        <v>0.00684931506849315</v>
      </c>
      <c r="AA90" s="13">
        <f>Z90*356861</f>
        <v>2444.253424657534</v>
      </c>
      <c r="AB90" s="106">
        <f t="shared" si="13"/>
        <v>6217.369863013699</v>
      </c>
      <c r="AC90" s="102">
        <f t="shared" si="14"/>
        <v>0.9998886892754847</v>
      </c>
      <c r="AD90" s="113">
        <f t="shared" si="15"/>
        <v>15906.540725082665</v>
      </c>
      <c r="AE90" s="52">
        <f t="shared" si="16"/>
        <v>3.624901062680823</v>
      </c>
    </row>
    <row r="91" spans="2:31" s="27" customFormat="1" ht="12.75">
      <c r="B91" s="80">
        <v>86</v>
      </c>
      <c r="C91" s="35" t="s">
        <v>571</v>
      </c>
      <c r="D91" s="3" t="s">
        <v>216</v>
      </c>
      <c r="E91" s="39" t="s">
        <v>315</v>
      </c>
      <c r="F91" s="61"/>
      <c r="G91" s="4"/>
      <c r="H91" s="14"/>
      <c r="I91" s="12"/>
      <c r="J91" s="11">
        <v>44</v>
      </c>
      <c r="K91" s="4" t="s">
        <v>16</v>
      </c>
      <c r="L91" s="3">
        <f>72/17400</f>
        <v>0.004137931034482759</v>
      </c>
      <c r="M91" s="10">
        <f>L91*1067919</f>
        <v>4418.975172413793</v>
      </c>
      <c r="N91" s="89">
        <f t="shared" si="17"/>
        <v>4418.975172413793</v>
      </c>
      <c r="O91" s="90">
        <f t="shared" si="18"/>
        <v>1.0070289999122162</v>
      </c>
      <c r="P91" s="61"/>
      <c r="Q91" s="4"/>
      <c r="R91" s="3"/>
      <c r="S91" s="12"/>
      <c r="T91" s="11"/>
      <c r="U91" s="4"/>
      <c r="V91" s="3"/>
      <c r="W91" s="12"/>
      <c r="X91" s="11">
        <v>89</v>
      </c>
      <c r="Y91" s="4" t="s">
        <v>446</v>
      </c>
      <c r="Z91" s="3">
        <f>40/17520</f>
        <v>0.00228310502283105</v>
      </c>
      <c r="AA91" s="13">
        <f>Z91*356861</f>
        <v>814.7511415525114</v>
      </c>
      <c r="AB91" s="106">
        <f t="shared" si="13"/>
        <v>814.7511415525114</v>
      </c>
      <c r="AC91" s="102">
        <f t="shared" si="14"/>
        <v>0.13102975517975077</v>
      </c>
      <c r="AD91" s="113">
        <f t="shared" si="15"/>
        <v>5233.726313966305</v>
      </c>
      <c r="AE91" s="52">
        <f t="shared" si="16"/>
        <v>1.1927005629426979</v>
      </c>
    </row>
    <row r="92" spans="2:31" s="27" customFormat="1" ht="12.75">
      <c r="B92" s="80">
        <v>87</v>
      </c>
      <c r="C92" s="35" t="s">
        <v>522</v>
      </c>
      <c r="D92" s="3" t="s">
        <v>92</v>
      </c>
      <c r="E92" s="39" t="s">
        <v>523</v>
      </c>
      <c r="F92" s="61"/>
      <c r="G92" s="4"/>
      <c r="H92" s="3"/>
      <c r="I92" s="12"/>
      <c r="J92" s="2"/>
      <c r="K92" s="6"/>
      <c r="L92" s="3"/>
      <c r="M92" s="10"/>
      <c r="N92" s="89"/>
      <c r="O92" s="90"/>
      <c r="P92" s="61"/>
      <c r="Q92" s="4"/>
      <c r="R92" s="3"/>
      <c r="S92" s="12"/>
      <c r="T92" s="11">
        <v>52</v>
      </c>
      <c r="U92" s="4" t="s">
        <v>521</v>
      </c>
      <c r="V92" s="3">
        <f>4/2336</f>
        <v>0.0017123287671232876</v>
      </c>
      <c r="W92" s="12">
        <f>V92*202</f>
        <v>0.3458904109589041</v>
      </c>
      <c r="X92" s="11"/>
      <c r="Y92" s="4"/>
      <c r="Z92" s="3"/>
      <c r="AA92" s="13"/>
      <c r="AB92" s="106">
        <f t="shared" si="13"/>
        <v>0.3458904109589041</v>
      </c>
      <c r="AC92" s="102">
        <f t="shared" si="14"/>
        <v>5.562672275684998E-05</v>
      </c>
      <c r="AD92" s="113">
        <f t="shared" si="15"/>
        <v>0.3458904109589041</v>
      </c>
      <c r="AE92" s="52">
        <f t="shared" si="16"/>
        <v>7.882408500541668E-05</v>
      </c>
    </row>
    <row r="93" spans="2:31" s="27" customFormat="1" ht="12.75">
      <c r="B93" s="80">
        <v>88</v>
      </c>
      <c r="C93" s="35" t="s">
        <v>312</v>
      </c>
      <c r="D93" s="3" t="s">
        <v>96</v>
      </c>
      <c r="E93" s="39" t="s">
        <v>97</v>
      </c>
      <c r="F93" s="61"/>
      <c r="G93" s="4"/>
      <c r="H93" s="3"/>
      <c r="I93" s="12"/>
      <c r="J93" s="2"/>
      <c r="K93" s="6"/>
      <c r="L93" s="3"/>
      <c r="M93" s="10"/>
      <c r="N93" s="89"/>
      <c r="O93" s="90"/>
      <c r="P93" s="61">
        <v>158</v>
      </c>
      <c r="Q93" s="4" t="s">
        <v>202</v>
      </c>
      <c r="R93" s="3">
        <f>120/17520</f>
        <v>0.00684931506849315</v>
      </c>
      <c r="S93" s="12">
        <f>R93*550774</f>
        <v>3772.4246575342463</v>
      </c>
      <c r="T93" s="11">
        <v>147</v>
      </c>
      <c r="U93" s="4" t="s">
        <v>440</v>
      </c>
      <c r="V93" s="14">
        <f>240/17520</f>
        <v>0.0136986301369863</v>
      </c>
      <c r="W93" s="12">
        <f>V93*202</f>
        <v>2.767123287671233</v>
      </c>
      <c r="X93" s="11">
        <v>119</v>
      </c>
      <c r="Y93" s="4" t="s">
        <v>202</v>
      </c>
      <c r="Z93" s="3">
        <f>120/17520</f>
        <v>0.00684931506849315</v>
      </c>
      <c r="AA93" s="13">
        <f>Z93*356861</f>
        <v>2444.253424657534</v>
      </c>
      <c r="AB93" s="106">
        <f t="shared" si="13"/>
        <v>6219.445205479452</v>
      </c>
      <c r="AC93" s="102">
        <f t="shared" si="14"/>
        <v>1.0002224496120258</v>
      </c>
      <c r="AD93" s="113">
        <f t="shared" si="15"/>
        <v>6219.445205479452</v>
      </c>
      <c r="AE93" s="52">
        <f t="shared" si="16"/>
        <v>1.4173335311729416</v>
      </c>
    </row>
    <row r="94" spans="2:31" s="27" customFormat="1" ht="12.75">
      <c r="B94" s="80">
        <v>89</v>
      </c>
      <c r="C94" s="35" t="s">
        <v>312</v>
      </c>
      <c r="D94" s="3" t="s">
        <v>96</v>
      </c>
      <c r="E94" s="39" t="s">
        <v>97</v>
      </c>
      <c r="F94" s="61">
        <v>39</v>
      </c>
      <c r="G94" s="4" t="s">
        <v>71</v>
      </c>
      <c r="H94" s="14">
        <f>390/17400</f>
        <v>0.022413793103448276</v>
      </c>
      <c r="I94" s="12">
        <f>H94*204639</f>
        <v>4586.736206896551</v>
      </c>
      <c r="J94" s="11">
        <v>41</v>
      </c>
      <c r="K94" s="4" t="s">
        <v>71</v>
      </c>
      <c r="L94" s="3">
        <f>390/17400</f>
        <v>0.022413793103448276</v>
      </c>
      <c r="M94" s="10">
        <f>L94*1067919</f>
        <v>23936.11551724138</v>
      </c>
      <c r="N94" s="89">
        <f t="shared" si="17"/>
        <v>28522.85172413793</v>
      </c>
      <c r="O94" s="90">
        <f t="shared" si="18"/>
        <v>6.500000051078222</v>
      </c>
      <c r="P94" s="61">
        <v>120</v>
      </c>
      <c r="Q94" s="4" t="s">
        <v>356</v>
      </c>
      <c r="R94" s="3">
        <f>4/584</f>
        <v>0.00684931506849315</v>
      </c>
      <c r="S94" s="12">
        <f>R94*550774</f>
        <v>3772.4246575342463</v>
      </c>
      <c r="T94" s="11">
        <v>108</v>
      </c>
      <c r="U94" s="4" t="s">
        <v>356</v>
      </c>
      <c r="V94" s="3">
        <f>4/584</f>
        <v>0.00684931506849315</v>
      </c>
      <c r="W94" s="12">
        <f>V94*202</f>
        <v>1.3835616438356164</v>
      </c>
      <c r="X94" s="11">
        <v>90</v>
      </c>
      <c r="Y94" s="4" t="s">
        <v>356</v>
      </c>
      <c r="Z94" s="3">
        <f>4/584</f>
        <v>0.00684931506849315</v>
      </c>
      <c r="AA94" s="13">
        <f>Z94*356861</f>
        <v>2444.253424657534</v>
      </c>
      <c r="AB94" s="106">
        <f t="shared" si="13"/>
        <v>6218.0616438356155</v>
      </c>
      <c r="AC94" s="102">
        <f t="shared" si="14"/>
        <v>0.9999999427209982</v>
      </c>
      <c r="AD94" s="113">
        <f t="shared" si="15"/>
        <v>34740.91336797355</v>
      </c>
      <c r="AE94" s="52">
        <f t="shared" si="16"/>
        <v>7.917018285911143</v>
      </c>
    </row>
    <row r="95" spans="2:31" s="27" customFormat="1" ht="12.75">
      <c r="B95" s="80">
        <v>90</v>
      </c>
      <c r="C95" s="35" t="s">
        <v>316</v>
      </c>
      <c r="D95" s="3" t="s">
        <v>98</v>
      </c>
      <c r="E95" s="39" t="s">
        <v>99</v>
      </c>
      <c r="F95" s="61">
        <v>40</v>
      </c>
      <c r="G95" s="4" t="s">
        <v>91</v>
      </c>
      <c r="H95" s="14">
        <f>70/17400</f>
        <v>0.004022988505747126</v>
      </c>
      <c r="I95" s="12">
        <f>H95*204639</f>
        <v>823.2603448275862</v>
      </c>
      <c r="J95" s="11">
        <v>45</v>
      </c>
      <c r="K95" s="4" t="s">
        <v>16</v>
      </c>
      <c r="L95" s="3">
        <f>72/17400</f>
        <v>0.004137931034482759</v>
      </c>
      <c r="M95" s="10">
        <f>L95*1067919</f>
        <v>4418.975172413793</v>
      </c>
      <c r="N95" s="89">
        <f t="shared" si="17"/>
        <v>5242.235517241379</v>
      </c>
      <c r="O95" s="90">
        <f t="shared" si="18"/>
        <v>1.194639703609892</v>
      </c>
      <c r="P95" s="61">
        <v>121</v>
      </c>
      <c r="Q95" s="4" t="s">
        <v>446</v>
      </c>
      <c r="R95" s="3">
        <f>40/17520</f>
        <v>0.00228310502283105</v>
      </c>
      <c r="S95" s="12">
        <f>R95*550774</f>
        <v>1257.4748858447488</v>
      </c>
      <c r="T95" s="11">
        <v>109</v>
      </c>
      <c r="U95" s="4" t="s">
        <v>446</v>
      </c>
      <c r="V95" s="3">
        <f>40/17520</f>
        <v>0.00228310502283105</v>
      </c>
      <c r="W95" s="12">
        <f>V95*202</f>
        <v>0.4611872146118721</v>
      </c>
      <c r="X95" s="11">
        <v>91</v>
      </c>
      <c r="Y95" s="4" t="s">
        <v>446</v>
      </c>
      <c r="Z95" s="3">
        <f>40/17520</f>
        <v>0.00228310502283105</v>
      </c>
      <c r="AA95" s="13">
        <f>Z95*356861</f>
        <v>814.7511415525114</v>
      </c>
      <c r="AB95" s="106">
        <f t="shared" si="13"/>
        <v>2072.687214611872</v>
      </c>
      <c r="AC95" s="102">
        <f t="shared" si="14"/>
        <v>0.3333333142403328</v>
      </c>
      <c r="AD95" s="113">
        <f t="shared" si="15"/>
        <v>7314.922731853251</v>
      </c>
      <c r="AE95" s="52">
        <f t="shared" si="16"/>
        <v>1.6669791152208653</v>
      </c>
    </row>
    <row r="96" spans="2:31" s="27" customFormat="1" ht="12.75">
      <c r="B96" s="80">
        <v>91</v>
      </c>
      <c r="C96" s="35" t="s">
        <v>421</v>
      </c>
      <c r="D96" s="3" t="s">
        <v>422</v>
      </c>
      <c r="E96" s="39" t="s">
        <v>423</v>
      </c>
      <c r="F96" s="61"/>
      <c r="G96" s="4"/>
      <c r="H96" s="3"/>
      <c r="I96" s="12"/>
      <c r="J96" s="2"/>
      <c r="K96" s="6"/>
      <c r="L96" s="3"/>
      <c r="M96" s="10"/>
      <c r="N96" s="89"/>
      <c r="O96" s="90"/>
      <c r="P96" s="61">
        <v>86</v>
      </c>
      <c r="Q96" s="4" t="s">
        <v>424</v>
      </c>
      <c r="R96" s="3">
        <f>2/10512</f>
        <v>0.0001902587519025875</v>
      </c>
      <c r="S96" s="12">
        <f>R96*550774</f>
        <v>104.78957382039573</v>
      </c>
      <c r="T96" s="11">
        <v>77</v>
      </c>
      <c r="U96" s="4" t="s">
        <v>424</v>
      </c>
      <c r="V96" s="14">
        <f>2/10512</f>
        <v>0.0001902587519025875</v>
      </c>
      <c r="W96" s="12">
        <f>V96*202</f>
        <v>0.03843226788432268</v>
      </c>
      <c r="X96" s="11">
        <v>59</v>
      </c>
      <c r="Y96" s="4" t="s">
        <v>424</v>
      </c>
      <c r="Z96" s="3">
        <f>2/10512</f>
        <v>0.0001902587519025875</v>
      </c>
      <c r="AA96" s="13">
        <f>Z96*356861</f>
        <v>67.89592846270928</v>
      </c>
      <c r="AB96" s="106">
        <f t="shared" si="13"/>
        <v>172.72393455098933</v>
      </c>
      <c r="AC96" s="102">
        <f t="shared" si="14"/>
        <v>0.027777776186694397</v>
      </c>
      <c r="AD96" s="113">
        <f t="shared" si="15"/>
        <v>172.72393455098933</v>
      </c>
      <c r="AE96" s="52">
        <f t="shared" si="16"/>
        <v>0.039361617634247774</v>
      </c>
    </row>
    <row r="97" spans="2:31" s="27" customFormat="1" ht="12.75">
      <c r="B97" s="80">
        <v>92</v>
      </c>
      <c r="C97" s="35" t="s">
        <v>317</v>
      </c>
      <c r="D97" s="3" t="s">
        <v>196</v>
      </c>
      <c r="E97" s="39" t="s">
        <v>195</v>
      </c>
      <c r="F97" s="61">
        <v>93</v>
      </c>
      <c r="G97" s="4" t="s">
        <v>34</v>
      </c>
      <c r="H97" s="14">
        <f>120/17400</f>
        <v>0.006896551724137931</v>
      </c>
      <c r="I97" s="12">
        <f>H97*204639</f>
        <v>1411.3034482758621</v>
      </c>
      <c r="J97" s="11">
        <v>46</v>
      </c>
      <c r="K97" s="4" t="s">
        <v>34</v>
      </c>
      <c r="L97" s="3">
        <f>120/17400</f>
        <v>0.006896551724137931</v>
      </c>
      <c r="M97" s="10">
        <f>L97*1067919</f>
        <v>7364.958620689655</v>
      </c>
      <c r="N97" s="89">
        <f t="shared" si="17"/>
        <v>8776.262068965516</v>
      </c>
      <c r="O97" s="90">
        <f t="shared" si="18"/>
        <v>2.0000000157163758</v>
      </c>
      <c r="P97" s="61"/>
      <c r="Q97" s="4"/>
      <c r="R97" s="3"/>
      <c r="S97" s="12"/>
      <c r="T97" s="11"/>
      <c r="U97" s="4"/>
      <c r="V97" s="3"/>
      <c r="W97" s="12"/>
      <c r="X97" s="11"/>
      <c r="Y97" s="4"/>
      <c r="Z97" s="3"/>
      <c r="AA97" s="13"/>
      <c r="AB97" s="106"/>
      <c r="AC97" s="102"/>
      <c r="AD97" s="113">
        <f t="shared" si="15"/>
        <v>8776.262068965516</v>
      </c>
      <c r="AE97" s="52">
        <f t="shared" si="16"/>
        <v>2.0000000157163758</v>
      </c>
    </row>
    <row r="98" spans="2:31" s="27" customFormat="1" ht="12.75">
      <c r="B98" s="80">
        <v>93</v>
      </c>
      <c r="C98" s="35" t="s">
        <v>233</v>
      </c>
      <c r="D98" s="3" t="s">
        <v>234</v>
      </c>
      <c r="E98" s="39" t="s">
        <v>235</v>
      </c>
      <c r="F98" s="61">
        <v>111</v>
      </c>
      <c r="G98" s="4" t="s">
        <v>232</v>
      </c>
      <c r="H98" s="14">
        <f>210/69600</f>
        <v>0.003017241379310345</v>
      </c>
      <c r="I98" s="12">
        <f>H98*204639</f>
        <v>617.4452586206896</v>
      </c>
      <c r="J98" s="11"/>
      <c r="K98" s="4"/>
      <c r="L98" s="3"/>
      <c r="M98" s="10"/>
      <c r="N98" s="89">
        <f t="shared" si="17"/>
        <v>617.4452586206896</v>
      </c>
      <c r="O98" s="90">
        <f t="shared" si="18"/>
        <v>0.14070802777325692</v>
      </c>
      <c r="P98" s="61">
        <v>189</v>
      </c>
      <c r="Q98" s="4" t="s">
        <v>455</v>
      </c>
      <c r="R98" s="3">
        <f>60/17520</f>
        <v>0.003424657534246575</v>
      </c>
      <c r="S98" s="12">
        <f>R98*550774</f>
        <v>1886.2123287671232</v>
      </c>
      <c r="T98" s="11">
        <v>176</v>
      </c>
      <c r="U98" s="4" t="s">
        <v>455</v>
      </c>
      <c r="V98" s="3">
        <f>60/17520</f>
        <v>0.003424657534246575</v>
      </c>
      <c r="W98" s="12">
        <f>V98*202</f>
        <v>0.6917808219178082</v>
      </c>
      <c r="X98" s="11">
        <v>148</v>
      </c>
      <c r="Y98" s="4" t="s">
        <v>455</v>
      </c>
      <c r="Z98" s="3">
        <f>60/17520</f>
        <v>0.003424657534246575</v>
      </c>
      <c r="AA98" s="13">
        <f>Z98*356861</f>
        <v>1222.126712328767</v>
      </c>
      <c r="AB98" s="106">
        <f t="shared" si="13"/>
        <v>3109.0308219178078</v>
      </c>
      <c r="AC98" s="102">
        <f t="shared" si="14"/>
        <v>0.4999999713604991</v>
      </c>
      <c r="AD98" s="113">
        <f t="shared" si="15"/>
        <v>3726.4760805384976</v>
      </c>
      <c r="AE98" s="52">
        <f t="shared" si="16"/>
        <v>0.8492171451897168</v>
      </c>
    </row>
    <row r="99" spans="2:31" s="27" customFormat="1" ht="12.75">
      <c r="B99" s="80">
        <v>94</v>
      </c>
      <c r="C99" s="35" t="s">
        <v>131</v>
      </c>
      <c r="D99" s="3" t="s">
        <v>132</v>
      </c>
      <c r="E99" s="39" t="s">
        <v>133</v>
      </c>
      <c r="F99" s="61">
        <v>58</v>
      </c>
      <c r="G99" s="4" t="s">
        <v>58</v>
      </c>
      <c r="H99" s="14">
        <f>45/17400</f>
        <v>0.002586206896551724</v>
      </c>
      <c r="I99" s="12">
        <f>H99*204639</f>
        <v>529.2387931034483</v>
      </c>
      <c r="J99" s="11">
        <v>47</v>
      </c>
      <c r="K99" s="4" t="s">
        <v>58</v>
      </c>
      <c r="L99" s="3">
        <f>45/17400</f>
        <v>0.002586206896551724</v>
      </c>
      <c r="M99" s="10">
        <f>L99*1067919</f>
        <v>2761.8594827586207</v>
      </c>
      <c r="N99" s="89">
        <f t="shared" si="17"/>
        <v>3291.098275862069</v>
      </c>
      <c r="O99" s="90">
        <f t="shared" si="18"/>
        <v>0.750000005893641</v>
      </c>
      <c r="P99" s="61">
        <v>66</v>
      </c>
      <c r="Q99" s="4" t="s">
        <v>367</v>
      </c>
      <c r="R99" s="3">
        <f>2/3504</f>
        <v>0.0005707762557077625</v>
      </c>
      <c r="S99" s="12">
        <f>R99*550774</f>
        <v>314.3687214611872</v>
      </c>
      <c r="T99" s="11">
        <v>58</v>
      </c>
      <c r="U99" s="4" t="s">
        <v>367</v>
      </c>
      <c r="V99" s="3">
        <f>2/3504</f>
        <v>0.0005707762557077625</v>
      </c>
      <c r="W99" s="12">
        <f>V99*202</f>
        <v>0.11529680365296803</v>
      </c>
      <c r="X99" s="11">
        <v>40</v>
      </c>
      <c r="Y99" s="4" t="s">
        <v>367</v>
      </c>
      <c r="Z99" s="3">
        <f>2/3504</f>
        <v>0.0005707762557077625</v>
      </c>
      <c r="AA99" s="13">
        <f>Z99*356861</f>
        <v>203.68778538812785</v>
      </c>
      <c r="AB99" s="106">
        <f t="shared" si="13"/>
        <v>518.171803652968</v>
      </c>
      <c r="AC99" s="102">
        <f t="shared" si="14"/>
        <v>0.0833333285600832</v>
      </c>
      <c r="AD99" s="113">
        <f t="shared" si="15"/>
        <v>3809.270079515037</v>
      </c>
      <c r="AE99" s="52">
        <f t="shared" si="16"/>
        <v>0.8680848587963844</v>
      </c>
    </row>
    <row r="100" spans="2:31" s="27" customFormat="1" ht="12.75">
      <c r="B100" s="80">
        <v>95</v>
      </c>
      <c r="C100" s="35" t="s">
        <v>131</v>
      </c>
      <c r="D100" s="3" t="s">
        <v>132</v>
      </c>
      <c r="E100" s="39" t="s">
        <v>133</v>
      </c>
      <c r="F100" s="61"/>
      <c r="G100" s="4"/>
      <c r="H100" s="3"/>
      <c r="I100" s="12"/>
      <c r="J100" s="2"/>
      <c r="K100" s="6"/>
      <c r="L100" s="3"/>
      <c r="M100" s="10"/>
      <c r="N100" s="89"/>
      <c r="O100" s="90"/>
      <c r="P100" s="61">
        <v>173</v>
      </c>
      <c r="Q100" s="4" t="s">
        <v>400</v>
      </c>
      <c r="R100" s="3">
        <f>1/584</f>
        <v>0.0017123287671232876</v>
      </c>
      <c r="S100" s="12">
        <f>R100*550774</f>
        <v>943.1061643835616</v>
      </c>
      <c r="T100" s="11">
        <v>160</v>
      </c>
      <c r="U100" s="4" t="s">
        <v>400</v>
      </c>
      <c r="V100" s="3">
        <f>1/584</f>
        <v>0.0017123287671232876</v>
      </c>
      <c r="W100" s="12">
        <f>V100*202</f>
        <v>0.3458904109589041</v>
      </c>
      <c r="X100" s="11">
        <v>134</v>
      </c>
      <c r="Y100" s="4" t="s">
        <v>400</v>
      </c>
      <c r="Z100" s="3">
        <f>1/584</f>
        <v>0.0017123287671232876</v>
      </c>
      <c r="AA100" s="13">
        <f>Z100*356861</f>
        <v>611.0633561643835</v>
      </c>
      <c r="AB100" s="106">
        <f t="shared" si="13"/>
        <v>1554.5154109589039</v>
      </c>
      <c r="AC100" s="102">
        <f t="shared" si="14"/>
        <v>0.24999998568024956</v>
      </c>
      <c r="AD100" s="113">
        <f t="shared" si="15"/>
        <v>1554.5154109589039</v>
      </c>
      <c r="AE100" s="52">
        <f t="shared" si="16"/>
        <v>0.35425455870822997</v>
      </c>
    </row>
    <row r="101" spans="2:31" s="27" customFormat="1" ht="12.75">
      <c r="B101" s="80">
        <v>96</v>
      </c>
      <c r="C101" s="35" t="s">
        <v>261</v>
      </c>
      <c r="D101" s="3" t="s">
        <v>262</v>
      </c>
      <c r="E101" s="39" t="s">
        <v>263</v>
      </c>
      <c r="F101" s="61">
        <v>122</v>
      </c>
      <c r="G101" s="4" t="s">
        <v>66</v>
      </c>
      <c r="H101" s="14">
        <f>60/17400</f>
        <v>0.0034482758620689655</v>
      </c>
      <c r="I101" s="12">
        <f>H101*204639</f>
        <v>705.6517241379311</v>
      </c>
      <c r="J101" s="11"/>
      <c r="K101" s="4"/>
      <c r="L101" s="3"/>
      <c r="M101" s="10"/>
      <c r="N101" s="89">
        <f t="shared" si="17"/>
        <v>705.6517241379311</v>
      </c>
      <c r="O101" s="90">
        <f t="shared" si="18"/>
        <v>0.1608091745980079</v>
      </c>
      <c r="P101" s="61"/>
      <c r="Q101" s="4"/>
      <c r="R101" s="3"/>
      <c r="S101" s="12"/>
      <c r="T101" s="11"/>
      <c r="U101" s="4"/>
      <c r="V101" s="3"/>
      <c r="W101" s="12"/>
      <c r="X101" s="11"/>
      <c r="Y101" s="4"/>
      <c r="Z101" s="3"/>
      <c r="AA101" s="13"/>
      <c r="AB101" s="106"/>
      <c r="AC101" s="102"/>
      <c r="AD101" s="113">
        <f t="shared" si="15"/>
        <v>705.6517241379311</v>
      </c>
      <c r="AE101" s="52">
        <f t="shared" si="16"/>
        <v>0.1608091745980079</v>
      </c>
    </row>
    <row r="102" spans="2:31" s="27" customFormat="1" ht="12.75">
      <c r="B102" s="80">
        <v>97</v>
      </c>
      <c r="C102" s="35" t="s">
        <v>318</v>
      </c>
      <c r="D102" s="3" t="s">
        <v>319</v>
      </c>
      <c r="E102" s="39" t="s">
        <v>320</v>
      </c>
      <c r="F102" s="61"/>
      <c r="G102" s="4"/>
      <c r="H102" s="14"/>
      <c r="I102" s="12"/>
      <c r="J102" s="11">
        <v>48</v>
      </c>
      <c r="K102" s="4" t="s">
        <v>114</v>
      </c>
      <c r="L102" s="3">
        <f>240/17400</f>
        <v>0.013793103448275862</v>
      </c>
      <c r="M102" s="10">
        <f>L102*1067919</f>
        <v>14729.91724137931</v>
      </c>
      <c r="N102" s="89">
        <f t="shared" si="17"/>
        <v>14729.91724137931</v>
      </c>
      <c r="O102" s="90">
        <f t="shared" si="18"/>
        <v>3.3567633330407203</v>
      </c>
      <c r="P102" s="61"/>
      <c r="Q102" s="4"/>
      <c r="R102" s="3"/>
      <c r="S102" s="12"/>
      <c r="T102" s="11"/>
      <c r="U102" s="4"/>
      <c r="V102" s="3"/>
      <c r="W102" s="12"/>
      <c r="X102" s="11"/>
      <c r="Y102" s="4"/>
      <c r="Z102" s="3"/>
      <c r="AA102" s="13"/>
      <c r="AB102" s="106"/>
      <c r="AC102" s="102"/>
      <c r="AD102" s="113">
        <f t="shared" si="15"/>
        <v>14729.91724137931</v>
      </c>
      <c r="AE102" s="52">
        <f t="shared" si="16"/>
        <v>3.3567633330407203</v>
      </c>
    </row>
    <row r="103" spans="2:31" s="27" customFormat="1" ht="12.75">
      <c r="B103" s="80">
        <v>98</v>
      </c>
      <c r="C103" s="35" t="s">
        <v>378</v>
      </c>
      <c r="D103" s="3" t="s">
        <v>627</v>
      </c>
      <c r="E103" s="41" t="s">
        <v>379</v>
      </c>
      <c r="F103" s="61"/>
      <c r="G103" s="4"/>
      <c r="H103" s="14"/>
      <c r="I103" s="12"/>
      <c r="J103" s="11"/>
      <c r="K103" s="4"/>
      <c r="L103" s="3"/>
      <c r="M103" s="10"/>
      <c r="N103" s="89"/>
      <c r="O103" s="90"/>
      <c r="P103" s="61">
        <v>46</v>
      </c>
      <c r="Q103" s="4" t="s">
        <v>371</v>
      </c>
      <c r="R103" s="3">
        <f>1/1533</f>
        <v>0.0006523157208088715</v>
      </c>
      <c r="S103" s="12">
        <f>R103*550774</f>
        <v>359.27853881278537</v>
      </c>
      <c r="T103" s="11">
        <v>39</v>
      </c>
      <c r="U103" s="4" t="s">
        <v>371</v>
      </c>
      <c r="V103" s="3">
        <f>1/1533</f>
        <v>0.0006523157208088715</v>
      </c>
      <c r="W103" s="12">
        <f>V103*202</f>
        <v>0.13176777560339203</v>
      </c>
      <c r="X103" s="11">
        <v>22</v>
      </c>
      <c r="Y103" s="4" t="s">
        <v>371</v>
      </c>
      <c r="Z103" s="3">
        <f>1/1533</f>
        <v>0.0006523157208088715</v>
      </c>
      <c r="AA103" s="13">
        <f>Z103*356861</f>
        <v>232.78604044357468</v>
      </c>
      <c r="AB103" s="106">
        <f t="shared" si="13"/>
        <v>592.1963470319635</v>
      </c>
      <c r="AC103" s="102">
        <f t="shared" si="14"/>
        <v>0.09523808978295223</v>
      </c>
      <c r="AD103" s="113">
        <f t="shared" si="15"/>
        <v>592.1963470319635</v>
      </c>
      <c r="AE103" s="52">
        <f t="shared" si="16"/>
        <v>0.13495411760313522</v>
      </c>
    </row>
    <row r="104" spans="2:31" s="27" customFormat="1" ht="12.75">
      <c r="B104" s="80">
        <v>100</v>
      </c>
      <c r="C104" s="35" t="s">
        <v>384</v>
      </c>
      <c r="D104" s="3" t="s">
        <v>390</v>
      </c>
      <c r="E104" s="39" t="s">
        <v>385</v>
      </c>
      <c r="F104" s="61"/>
      <c r="G104" s="4"/>
      <c r="H104" s="14"/>
      <c r="I104" s="12"/>
      <c r="J104" s="11"/>
      <c r="K104" s="4"/>
      <c r="L104" s="3"/>
      <c r="M104" s="10"/>
      <c r="N104" s="89"/>
      <c r="O104" s="90"/>
      <c r="P104" s="61">
        <v>54</v>
      </c>
      <c r="Q104" s="4" t="s">
        <v>356</v>
      </c>
      <c r="R104" s="3">
        <f>4/584</f>
        <v>0.00684931506849315</v>
      </c>
      <c r="S104" s="12">
        <f>R104*550774</f>
        <v>3772.4246575342463</v>
      </c>
      <c r="T104" s="11">
        <v>47</v>
      </c>
      <c r="U104" s="4" t="s">
        <v>356</v>
      </c>
      <c r="V104" s="3">
        <f>4/584</f>
        <v>0.00684931506849315</v>
      </c>
      <c r="W104" s="12">
        <f>V104*202</f>
        <v>1.3835616438356164</v>
      </c>
      <c r="X104" s="11">
        <v>30</v>
      </c>
      <c r="Y104" s="4" t="s">
        <v>356</v>
      </c>
      <c r="Z104" s="3">
        <f>4/584</f>
        <v>0.00684931506849315</v>
      </c>
      <c r="AA104" s="13">
        <f>Z104*356861</f>
        <v>2444.253424657534</v>
      </c>
      <c r="AB104" s="106">
        <f t="shared" si="13"/>
        <v>6218.0616438356155</v>
      </c>
      <c r="AC104" s="102">
        <f t="shared" si="14"/>
        <v>0.9999999427209982</v>
      </c>
      <c r="AD104" s="113">
        <f t="shared" si="15"/>
        <v>6218.0616438356155</v>
      </c>
      <c r="AE104" s="52">
        <f t="shared" si="16"/>
        <v>1.4170182348329199</v>
      </c>
    </row>
    <row r="105" spans="2:31" s="27" customFormat="1" ht="12.75">
      <c r="B105" s="80">
        <v>101</v>
      </c>
      <c r="C105" s="35" t="s">
        <v>572</v>
      </c>
      <c r="D105" s="3" t="s">
        <v>498</v>
      </c>
      <c r="E105" s="39" t="s">
        <v>499</v>
      </c>
      <c r="F105" s="61"/>
      <c r="G105" s="4"/>
      <c r="H105" s="3"/>
      <c r="I105" s="12"/>
      <c r="J105" s="2"/>
      <c r="K105" s="6"/>
      <c r="L105" s="3"/>
      <c r="M105" s="10"/>
      <c r="N105" s="89"/>
      <c r="O105" s="90"/>
      <c r="P105" s="61">
        <v>199</v>
      </c>
      <c r="Q105" s="4" t="s">
        <v>362</v>
      </c>
      <c r="R105" s="3">
        <f>2/584</f>
        <v>0.003424657534246575</v>
      </c>
      <c r="S105" s="12">
        <f>R105*550774</f>
        <v>1886.2123287671232</v>
      </c>
      <c r="T105" s="11">
        <v>186</v>
      </c>
      <c r="U105" s="4" t="s">
        <v>362</v>
      </c>
      <c r="V105" s="3">
        <f>2/584</f>
        <v>0.003424657534246575</v>
      </c>
      <c r="W105" s="12">
        <f>V105*202</f>
        <v>0.6917808219178082</v>
      </c>
      <c r="X105" s="11">
        <v>158</v>
      </c>
      <c r="Y105" s="4" t="s">
        <v>362</v>
      </c>
      <c r="Z105" s="3">
        <f>2/584</f>
        <v>0.003424657534246575</v>
      </c>
      <c r="AA105" s="13">
        <f>Z105*356861</f>
        <v>1222.126712328767</v>
      </c>
      <c r="AB105" s="106">
        <f t="shared" si="13"/>
        <v>3109.0308219178078</v>
      </c>
      <c r="AC105" s="102">
        <f t="shared" si="14"/>
        <v>0.4999999713604991</v>
      </c>
      <c r="AD105" s="113">
        <f t="shared" si="15"/>
        <v>3109.0308219178078</v>
      </c>
      <c r="AE105" s="52">
        <f t="shared" si="16"/>
        <v>0.7085091174164599</v>
      </c>
    </row>
    <row r="106" spans="2:31" s="27" customFormat="1" ht="12.75">
      <c r="B106" s="80">
        <v>102</v>
      </c>
      <c r="C106" s="35" t="s">
        <v>573</v>
      </c>
      <c r="D106" s="3" t="s">
        <v>433</v>
      </c>
      <c r="E106" s="39" t="s">
        <v>235</v>
      </c>
      <c r="F106" s="61"/>
      <c r="G106" s="4"/>
      <c r="H106" s="3"/>
      <c r="I106" s="12"/>
      <c r="J106" s="2"/>
      <c r="K106" s="6"/>
      <c r="L106" s="3"/>
      <c r="M106" s="10"/>
      <c r="N106" s="89"/>
      <c r="O106" s="90"/>
      <c r="P106" s="61">
        <v>92</v>
      </c>
      <c r="Q106" s="4" t="s">
        <v>432</v>
      </c>
      <c r="R106" s="3">
        <f>4/1752</f>
        <v>0.00228310502283105</v>
      </c>
      <c r="S106" s="12">
        <f>R106*550774</f>
        <v>1257.4748858447488</v>
      </c>
      <c r="T106" s="11"/>
      <c r="U106" s="4"/>
      <c r="V106" s="3"/>
      <c r="W106" s="12"/>
      <c r="X106" s="11">
        <v>65</v>
      </c>
      <c r="Y106" s="4" t="s">
        <v>432</v>
      </c>
      <c r="Z106" s="3">
        <f>4/1752</f>
        <v>0.00228310502283105</v>
      </c>
      <c r="AA106" s="13">
        <f>Z106*356861</f>
        <v>814.7511415525114</v>
      </c>
      <c r="AB106" s="106">
        <f t="shared" si="13"/>
        <v>2072.22602739726</v>
      </c>
      <c r="AC106" s="102">
        <f t="shared" si="14"/>
        <v>0.33325914527665695</v>
      </c>
      <c r="AD106" s="113">
        <f t="shared" si="15"/>
        <v>2072.22602739726</v>
      </c>
      <c r="AE106" s="52">
        <f t="shared" si="16"/>
        <v>0.47223431283096606</v>
      </c>
    </row>
    <row r="107" spans="2:31" s="27" customFormat="1" ht="12.75">
      <c r="B107" s="80">
        <v>103</v>
      </c>
      <c r="C107" s="35" t="s">
        <v>574</v>
      </c>
      <c r="D107" s="3" t="s">
        <v>281</v>
      </c>
      <c r="E107" s="39" t="s">
        <v>282</v>
      </c>
      <c r="F107" s="61">
        <v>130</v>
      </c>
      <c r="G107" s="4" t="s">
        <v>66</v>
      </c>
      <c r="H107" s="14">
        <f>60/17400</f>
        <v>0.0034482758620689655</v>
      </c>
      <c r="I107" s="12">
        <f>H107*204639</f>
        <v>705.6517241379311</v>
      </c>
      <c r="J107" s="11">
        <v>4</v>
      </c>
      <c r="K107" s="4" t="s">
        <v>66</v>
      </c>
      <c r="L107" s="3">
        <f>60/17400</f>
        <v>0.0034482758620689655</v>
      </c>
      <c r="M107" s="10">
        <f>L107*1067919</f>
        <v>3682.4793103448274</v>
      </c>
      <c r="N107" s="89">
        <f t="shared" si="17"/>
        <v>4388.131034482758</v>
      </c>
      <c r="O107" s="90">
        <f t="shared" si="18"/>
        <v>1.0000000078581879</v>
      </c>
      <c r="P107" s="61">
        <v>91</v>
      </c>
      <c r="Q107" s="4" t="s">
        <v>432</v>
      </c>
      <c r="R107" s="3">
        <f>4/1752</f>
        <v>0.00228310502283105</v>
      </c>
      <c r="S107" s="12">
        <f>R107*550774</f>
        <v>1257.4748858447488</v>
      </c>
      <c r="T107" s="11"/>
      <c r="U107" s="4"/>
      <c r="V107" s="3"/>
      <c r="W107" s="12"/>
      <c r="X107" s="11">
        <v>64</v>
      </c>
      <c r="Y107" s="4" t="s">
        <v>432</v>
      </c>
      <c r="Z107" s="3">
        <f>4/1752</f>
        <v>0.00228310502283105</v>
      </c>
      <c r="AA107" s="13">
        <f>Z107*356861</f>
        <v>814.7511415525114</v>
      </c>
      <c r="AB107" s="106">
        <f t="shared" si="13"/>
        <v>2072.22602739726</v>
      </c>
      <c r="AC107" s="102">
        <f t="shared" si="14"/>
        <v>0.33325914527665695</v>
      </c>
      <c r="AD107" s="113">
        <f t="shared" si="15"/>
        <v>6460.357061880019</v>
      </c>
      <c r="AE107" s="52">
        <f t="shared" si="16"/>
        <v>1.472234320689154</v>
      </c>
    </row>
    <row r="108" spans="2:31" s="27" customFormat="1" ht="12.75">
      <c r="B108" s="80">
        <v>104</v>
      </c>
      <c r="C108" s="35" t="s">
        <v>575</v>
      </c>
      <c r="D108" s="3" t="s">
        <v>321</v>
      </c>
      <c r="E108" s="39" t="s">
        <v>322</v>
      </c>
      <c r="F108" s="61"/>
      <c r="G108" s="4"/>
      <c r="H108" s="14"/>
      <c r="I108" s="12"/>
      <c r="J108" s="11">
        <v>49</v>
      </c>
      <c r="K108" s="4" t="s">
        <v>81</v>
      </c>
      <c r="L108" s="3">
        <f>210/17400</f>
        <v>0.01206896551724138</v>
      </c>
      <c r="M108" s="10">
        <f>L108*1067919</f>
        <v>12888.677586206897</v>
      </c>
      <c r="N108" s="89">
        <f t="shared" si="17"/>
        <v>12888.677586206897</v>
      </c>
      <c r="O108" s="90">
        <f t="shared" si="18"/>
        <v>2.9371679164106306</v>
      </c>
      <c r="P108" s="61"/>
      <c r="Q108" s="4"/>
      <c r="R108" s="3"/>
      <c r="S108" s="12"/>
      <c r="T108" s="11"/>
      <c r="U108" s="4"/>
      <c r="V108" s="3"/>
      <c r="W108" s="12"/>
      <c r="X108" s="11"/>
      <c r="Y108" s="4"/>
      <c r="Z108" s="3"/>
      <c r="AA108" s="13"/>
      <c r="AB108" s="106"/>
      <c r="AC108" s="102"/>
      <c r="AD108" s="113">
        <f t="shared" si="15"/>
        <v>12888.677586206897</v>
      </c>
      <c r="AE108" s="52">
        <f t="shared" si="16"/>
        <v>2.9371679164106306</v>
      </c>
    </row>
    <row r="109" spans="2:31" s="27" customFormat="1" ht="12.75">
      <c r="B109" s="80">
        <v>105</v>
      </c>
      <c r="C109" s="35" t="s">
        <v>467</v>
      </c>
      <c r="D109" s="3" t="s">
        <v>463</v>
      </c>
      <c r="E109" s="39" t="s">
        <v>468</v>
      </c>
      <c r="F109" s="61"/>
      <c r="G109" s="4"/>
      <c r="H109" s="3"/>
      <c r="I109" s="12"/>
      <c r="J109" s="2"/>
      <c r="K109" s="6"/>
      <c r="L109" s="3"/>
      <c r="M109" s="10"/>
      <c r="N109" s="89"/>
      <c r="O109" s="90"/>
      <c r="P109" s="61">
        <v>167</v>
      </c>
      <c r="Q109" s="4" t="s">
        <v>202</v>
      </c>
      <c r="R109" s="3">
        <f>120/17520</f>
        <v>0.00684931506849315</v>
      </c>
      <c r="S109" s="12">
        <f>R109*550774</f>
        <v>3772.4246575342463</v>
      </c>
      <c r="T109" s="11"/>
      <c r="U109" s="4"/>
      <c r="V109" s="3"/>
      <c r="W109" s="12"/>
      <c r="X109" s="11">
        <v>128</v>
      </c>
      <c r="Y109" s="4" t="s">
        <v>202</v>
      </c>
      <c r="Z109" s="3">
        <f>120/17520</f>
        <v>0.00684931506849315</v>
      </c>
      <c r="AA109" s="13">
        <f>Z109*356861</f>
        <v>2444.253424657534</v>
      </c>
      <c r="AB109" s="106">
        <f t="shared" si="13"/>
        <v>6216.67808219178</v>
      </c>
      <c r="AC109" s="102">
        <f t="shared" si="14"/>
        <v>0.9997774358299708</v>
      </c>
      <c r="AD109" s="113">
        <f t="shared" si="15"/>
        <v>6216.67808219178</v>
      </c>
      <c r="AE109" s="52">
        <f t="shared" si="16"/>
        <v>1.4167029384928982</v>
      </c>
    </row>
    <row r="110" spans="2:31" s="27" customFormat="1" ht="12.75">
      <c r="B110" s="80">
        <v>106</v>
      </c>
      <c r="C110" s="35" t="s">
        <v>462</v>
      </c>
      <c r="D110" s="3" t="s">
        <v>516</v>
      </c>
      <c r="E110" s="39" t="s">
        <v>464</v>
      </c>
      <c r="F110" s="61"/>
      <c r="G110" s="4"/>
      <c r="H110" s="3"/>
      <c r="I110" s="12"/>
      <c r="J110" s="2"/>
      <c r="K110" s="6"/>
      <c r="L110" s="3"/>
      <c r="M110" s="10"/>
      <c r="N110" s="89"/>
      <c r="O110" s="90"/>
      <c r="P110" s="61">
        <v>165</v>
      </c>
      <c r="Q110" s="4" t="s">
        <v>202</v>
      </c>
      <c r="R110" s="3">
        <f>120/17520</f>
        <v>0.00684931506849315</v>
      </c>
      <c r="S110" s="12">
        <f>R110*550774</f>
        <v>3772.4246575342463</v>
      </c>
      <c r="T110" s="11"/>
      <c r="U110" s="4"/>
      <c r="V110" s="3"/>
      <c r="W110" s="12"/>
      <c r="X110" s="11">
        <v>126</v>
      </c>
      <c r="Y110" s="4" t="s">
        <v>202</v>
      </c>
      <c r="Z110" s="3">
        <f>120/17520</f>
        <v>0.00684931506849315</v>
      </c>
      <c r="AA110" s="13">
        <f>Z110*356861</f>
        <v>2444.253424657534</v>
      </c>
      <c r="AB110" s="106">
        <f t="shared" si="13"/>
        <v>6216.67808219178</v>
      </c>
      <c r="AC110" s="102">
        <f t="shared" si="14"/>
        <v>0.9997774358299708</v>
      </c>
      <c r="AD110" s="113">
        <f t="shared" si="15"/>
        <v>6216.67808219178</v>
      </c>
      <c r="AE110" s="52">
        <f t="shared" si="16"/>
        <v>1.4167029384928982</v>
      </c>
    </row>
    <row r="111" spans="2:31" s="27" customFormat="1" ht="12.75">
      <c r="B111" s="80">
        <v>107</v>
      </c>
      <c r="C111" s="35" t="s">
        <v>469</v>
      </c>
      <c r="D111" s="3" t="s">
        <v>508</v>
      </c>
      <c r="E111" s="39" t="s">
        <v>470</v>
      </c>
      <c r="F111" s="61"/>
      <c r="G111" s="4"/>
      <c r="H111" s="3"/>
      <c r="I111" s="12"/>
      <c r="J111" s="2"/>
      <c r="K111" s="6"/>
      <c r="L111" s="3"/>
      <c r="M111" s="10"/>
      <c r="N111" s="89"/>
      <c r="O111" s="90"/>
      <c r="P111" s="61">
        <v>168</v>
      </c>
      <c r="Q111" s="4" t="s">
        <v>202</v>
      </c>
      <c r="R111" s="3">
        <f>120/17520</f>
        <v>0.00684931506849315</v>
      </c>
      <c r="S111" s="12">
        <f>R111*550774</f>
        <v>3772.4246575342463</v>
      </c>
      <c r="T111" s="11"/>
      <c r="U111" s="4"/>
      <c r="V111" s="3"/>
      <c r="W111" s="12"/>
      <c r="X111" s="11">
        <v>129</v>
      </c>
      <c r="Y111" s="4" t="s">
        <v>202</v>
      </c>
      <c r="Z111" s="3">
        <f>120/17520</f>
        <v>0.00684931506849315</v>
      </c>
      <c r="AA111" s="13">
        <f>Z111*356861</f>
        <v>2444.253424657534</v>
      </c>
      <c r="AB111" s="106">
        <f t="shared" si="13"/>
        <v>6216.67808219178</v>
      </c>
      <c r="AC111" s="102">
        <f t="shared" si="14"/>
        <v>0.9997774358299708</v>
      </c>
      <c r="AD111" s="113">
        <f t="shared" si="15"/>
        <v>6216.67808219178</v>
      </c>
      <c r="AE111" s="52">
        <f t="shared" si="16"/>
        <v>1.4167029384928982</v>
      </c>
    </row>
    <row r="112" spans="2:31" s="27" customFormat="1" ht="12.75">
      <c r="B112" s="80">
        <v>108</v>
      </c>
      <c r="C112" s="35" t="s">
        <v>576</v>
      </c>
      <c r="D112" s="3" t="s">
        <v>254</v>
      </c>
      <c r="E112" s="39" t="s">
        <v>255</v>
      </c>
      <c r="F112" s="61">
        <v>119</v>
      </c>
      <c r="G112" s="4" t="s">
        <v>81</v>
      </c>
      <c r="H112" s="14">
        <f>210/17400</f>
        <v>0.01206896551724138</v>
      </c>
      <c r="I112" s="12">
        <f>H112*204639</f>
        <v>2469.7810344827585</v>
      </c>
      <c r="J112" s="11"/>
      <c r="K112" s="4"/>
      <c r="L112" s="3"/>
      <c r="M112" s="10"/>
      <c r="N112" s="89">
        <f t="shared" si="17"/>
        <v>2469.7810344827585</v>
      </c>
      <c r="O112" s="90">
        <f t="shared" si="18"/>
        <v>0.5628321110930277</v>
      </c>
      <c r="P112" s="61">
        <v>196</v>
      </c>
      <c r="Q112" s="4" t="s">
        <v>202</v>
      </c>
      <c r="R112" s="3">
        <f>120/17520</f>
        <v>0.00684931506849315</v>
      </c>
      <c r="S112" s="12">
        <f>R112*550774</f>
        <v>3772.4246575342463</v>
      </c>
      <c r="T112" s="11">
        <v>183</v>
      </c>
      <c r="U112" s="4" t="s">
        <v>202</v>
      </c>
      <c r="V112" s="3">
        <f>120/17520</f>
        <v>0.00684931506849315</v>
      </c>
      <c r="W112" s="12">
        <f>V112*202</f>
        <v>1.3835616438356164</v>
      </c>
      <c r="X112" s="11">
        <v>155</v>
      </c>
      <c r="Y112" s="4" t="s">
        <v>202</v>
      </c>
      <c r="Z112" s="3">
        <f>120/17520</f>
        <v>0.00684931506849315</v>
      </c>
      <c r="AA112" s="13">
        <f>Z112*356861</f>
        <v>2444.253424657534</v>
      </c>
      <c r="AB112" s="106">
        <f t="shared" si="13"/>
        <v>6218.0616438356155</v>
      </c>
      <c r="AC112" s="102">
        <f t="shared" si="14"/>
        <v>0.9999999427209982</v>
      </c>
      <c r="AD112" s="113">
        <f t="shared" si="15"/>
        <v>8687.842678318375</v>
      </c>
      <c r="AE112" s="52">
        <f t="shared" si="16"/>
        <v>1.9798503459259476</v>
      </c>
    </row>
    <row r="113" spans="2:31" s="27" customFormat="1" ht="12.75">
      <c r="B113" s="80">
        <v>109</v>
      </c>
      <c r="C113" s="35" t="s">
        <v>577</v>
      </c>
      <c r="D113" s="3" t="s">
        <v>135</v>
      </c>
      <c r="E113" s="39" t="s">
        <v>323</v>
      </c>
      <c r="F113" s="61"/>
      <c r="G113" s="4"/>
      <c r="H113" s="14"/>
      <c r="I113" s="12"/>
      <c r="J113" s="11">
        <v>51</v>
      </c>
      <c r="K113" s="4" t="s">
        <v>183</v>
      </c>
      <c r="L113" s="3">
        <f>450/17400</f>
        <v>0.02586206896551724</v>
      </c>
      <c r="M113" s="10">
        <f>L113*1067919</f>
        <v>27618.594827586207</v>
      </c>
      <c r="N113" s="89">
        <f t="shared" si="17"/>
        <v>27618.594827586207</v>
      </c>
      <c r="O113" s="90">
        <f t="shared" si="18"/>
        <v>6.293931249451351</v>
      </c>
      <c r="P113" s="61"/>
      <c r="Q113" s="4"/>
      <c r="R113" s="3"/>
      <c r="S113" s="12"/>
      <c r="T113" s="11"/>
      <c r="U113" s="4"/>
      <c r="V113" s="3"/>
      <c r="W113" s="12"/>
      <c r="X113" s="11"/>
      <c r="Y113" s="4"/>
      <c r="Z113" s="3"/>
      <c r="AA113" s="13"/>
      <c r="AB113" s="106"/>
      <c r="AC113" s="102"/>
      <c r="AD113" s="113">
        <f t="shared" si="15"/>
        <v>27618.594827586207</v>
      </c>
      <c r="AE113" s="52">
        <f t="shared" si="16"/>
        <v>6.293931249451351</v>
      </c>
    </row>
    <row r="114" spans="2:31" s="27" customFormat="1" ht="12.75">
      <c r="B114" s="80">
        <v>110</v>
      </c>
      <c r="C114" s="36" t="s">
        <v>203</v>
      </c>
      <c r="D114" s="24" t="s">
        <v>135</v>
      </c>
      <c r="E114" s="40" t="s">
        <v>136</v>
      </c>
      <c r="F114" s="60">
        <v>99</v>
      </c>
      <c r="G114" s="20" t="s">
        <v>183</v>
      </c>
      <c r="H114" s="21">
        <f>450/17400</f>
        <v>0.02586206896551724</v>
      </c>
      <c r="I114" s="22">
        <f>H114*204639</f>
        <v>5292.387931034483</v>
      </c>
      <c r="J114" s="23"/>
      <c r="K114" s="20"/>
      <c r="L114" s="24"/>
      <c r="M114" s="22"/>
      <c r="N114" s="89">
        <f t="shared" si="17"/>
        <v>5292.387931034483</v>
      </c>
      <c r="O114" s="90">
        <f t="shared" si="18"/>
        <v>1.2060688094850591</v>
      </c>
      <c r="P114" s="60"/>
      <c r="Q114" s="20"/>
      <c r="R114" s="24"/>
      <c r="S114" s="25"/>
      <c r="T114" s="23">
        <v>155</v>
      </c>
      <c r="U114" s="20" t="s">
        <v>532</v>
      </c>
      <c r="V114" s="21">
        <f>480/17520</f>
        <v>0.0273972602739726</v>
      </c>
      <c r="W114" s="25">
        <f aca="true" t="shared" si="19" ref="W114:W120">V114*202</f>
        <v>5.534246575342466</v>
      </c>
      <c r="X114" s="23"/>
      <c r="Y114" s="20"/>
      <c r="Z114" s="24"/>
      <c r="AA114" s="26"/>
      <c r="AB114" s="106">
        <f t="shared" si="13"/>
        <v>5.534246575342466</v>
      </c>
      <c r="AC114" s="102">
        <f t="shared" si="14"/>
        <v>0.0008900275641095997</v>
      </c>
      <c r="AD114" s="113">
        <f t="shared" si="15"/>
        <v>5297.922177609826</v>
      </c>
      <c r="AE114" s="52">
        <f t="shared" si="16"/>
        <v>1.207329994845146</v>
      </c>
    </row>
    <row r="115" spans="2:31" s="27" customFormat="1" ht="12.75">
      <c r="B115" s="80">
        <v>111</v>
      </c>
      <c r="C115" s="35" t="s">
        <v>134</v>
      </c>
      <c r="D115" s="3" t="s">
        <v>135</v>
      </c>
      <c r="E115" s="39" t="s">
        <v>136</v>
      </c>
      <c r="F115" s="61">
        <v>61</v>
      </c>
      <c r="G115" s="4" t="s">
        <v>22</v>
      </c>
      <c r="H115" s="3">
        <f>180/17400</f>
        <v>0.010344827586206896</v>
      </c>
      <c r="I115" s="10">
        <f>H115*204639</f>
        <v>2116.955172413793</v>
      </c>
      <c r="J115" s="11">
        <v>50</v>
      </c>
      <c r="K115" s="4" t="s">
        <v>22</v>
      </c>
      <c r="L115" s="3">
        <f>180/17400</f>
        <v>0.010344827586206896</v>
      </c>
      <c r="M115" s="10">
        <f>L115*1067919</f>
        <v>11047.437931034483</v>
      </c>
      <c r="N115" s="89">
        <f t="shared" si="17"/>
        <v>13164.393103448276</v>
      </c>
      <c r="O115" s="90">
        <f t="shared" si="18"/>
        <v>3.000000023574564</v>
      </c>
      <c r="P115" s="61">
        <v>134</v>
      </c>
      <c r="Q115" s="4" t="s">
        <v>202</v>
      </c>
      <c r="R115" s="3">
        <f>120/17520</f>
        <v>0.00684931506849315</v>
      </c>
      <c r="S115" s="12">
        <f aca="true" t="shared" si="20" ref="S115:S120">R115*550774</f>
        <v>3772.4246575342463</v>
      </c>
      <c r="T115" s="11">
        <v>122</v>
      </c>
      <c r="U115" s="4" t="s">
        <v>202</v>
      </c>
      <c r="V115" s="3">
        <f>120/17520</f>
        <v>0.00684931506849315</v>
      </c>
      <c r="W115" s="12">
        <f t="shared" si="19"/>
        <v>1.3835616438356164</v>
      </c>
      <c r="X115" s="11">
        <v>98</v>
      </c>
      <c r="Y115" s="4" t="s">
        <v>202</v>
      </c>
      <c r="Z115" s="3">
        <f>120/17520</f>
        <v>0.00684931506849315</v>
      </c>
      <c r="AA115" s="13">
        <f aca="true" t="shared" si="21" ref="AA115:AA120">Z115*356861</f>
        <v>2444.253424657534</v>
      </c>
      <c r="AB115" s="106">
        <f t="shared" si="13"/>
        <v>6218.0616438356155</v>
      </c>
      <c r="AC115" s="102">
        <f t="shared" si="14"/>
        <v>0.9999999427209982</v>
      </c>
      <c r="AD115" s="113">
        <f t="shared" si="15"/>
        <v>19382.454747283893</v>
      </c>
      <c r="AE115" s="52">
        <f t="shared" si="16"/>
        <v>4.417018258407484</v>
      </c>
    </row>
    <row r="116" spans="2:31" s="27" customFormat="1" ht="12.75">
      <c r="B116" s="80">
        <v>112</v>
      </c>
      <c r="C116" s="35" t="s">
        <v>275</v>
      </c>
      <c r="D116" s="3" t="s">
        <v>276</v>
      </c>
      <c r="E116" s="39" t="s">
        <v>277</v>
      </c>
      <c r="F116" s="61">
        <v>128</v>
      </c>
      <c r="G116" s="4" t="s">
        <v>66</v>
      </c>
      <c r="H116" s="14">
        <f>60/17400</f>
        <v>0.0034482758620689655</v>
      </c>
      <c r="I116" s="10">
        <f>H116*204639</f>
        <v>705.6517241379311</v>
      </c>
      <c r="J116" s="11"/>
      <c r="K116" s="4"/>
      <c r="L116" s="3"/>
      <c r="M116" s="10"/>
      <c r="N116" s="89">
        <f t="shared" si="17"/>
        <v>705.6517241379311</v>
      </c>
      <c r="O116" s="90">
        <f t="shared" si="18"/>
        <v>0.1608091745980079</v>
      </c>
      <c r="P116" s="61">
        <v>195</v>
      </c>
      <c r="Q116" s="4" t="s">
        <v>496</v>
      </c>
      <c r="R116" s="3">
        <f>65/17520</f>
        <v>0.0037100456621004564</v>
      </c>
      <c r="S116" s="12">
        <f t="shared" si="20"/>
        <v>2043.3966894977168</v>
      </c>
      <c r="T116" s="11">
        <v>182</v>
      </c>
      <c r="U116" s="4" t="s">
        <v>496</v>
      </c>
      <c r="V116" s="3">
        <f>65/17520</f>
        <v>0.0037100456621004564</v>
      </c>
      <c r="W116" s="12">
        <f t="shared" si="19"/>
        <v>0.7494292237442922</v>
      </c>
      <c r="X116" s="11">
        <v>154</v>
      </c>
      <c r="Y116" s="4" t="s">
        <v>496</v>
      </c>
      <c r="Z116" s="3">
        <f>65/17520</f>
        <v>0.0037100456621004564</v>
      </c>
      <c r="AA116" s="13">
        <f t="shared" si="21"/>
        <v>1323.970605022831</v>
      </c>
      <c r="AB116" s="106">
        <f t="shared" si="13"/>
        <v>3368.1167237442924</v>
      </c>
      <c r="AC116" s="102">
        <f t="shared" si="14"/>
        <v>0.5416666356405409</v>
      </c>
      <c r="AD116" s="113">
        <f t="shared" si="15"/>
        <v>4073.7684478822234</v>
      </c>
      <c r="AE116" s="52">
        <f t="shared" si="16"/>
        <v>0.9283607184658396</v>
      </c>
    </row>
    <row r="117" spans="2:31" s="27" customFormat="1" ht="12.75">
      <c r="B117" s="80">
        <v>113</v>
      </c>
      <c r="C117" s="35" t="s">
        <v>479</v>
      </c>
      <c r="D117" s="3" t="s">
        <v>535</v>
      </c>
      <c r="E117" s="39" t="s">
        <v>480</v>
      </c>
      <c r="F117" s="61"/>
      <c r="G117" s="4"/>
      <c r="H117" s="3"/>
      <c r="I117" s="10"/>
      <c r="J117" s="2"/>
      <c r="K117" s="6"/>
      <c r="L117" s="3"/>
      <c r="M117" s="10"/>
      <c r="N117" s="89"/>
      <c r="O117" s="90"/>
      <c r="P117" s="61">
        <v>177</v>
      </c>
      <c r="Q117" s="4" t="s">
        <v>481</v>
      </c>
      <c r="R117" s="3">
        <f>28/2920</f>
        <v>0.009589041095890411</v>
      </c>
      <c r="S117" s="12">
        <f t="shared" si="20"/>
        <v>5281.394520547946</v>
      </c>
      <c r="T117" s="11">
        <v>164</v>
      </c>
      <c r="U117" s="4" t="s">
        <v>533</v>
      </c>
      <c r="V117" s="3">
        <f>16/2920</f>
        <v>0.005479452054794521</v>
      </c>
      <c r="W117" s="12">
        <f t="shared" si="19"/>
        <v>1.1068493150684933</v>
      </c>
      <c r="X117" s="11">
        <v>138</v>
      </c>
      <c r="Y117" s="4" t="s">
        <v>481</v>
      </c>
      <c r="Z117" s="3">
        <f>28/2920</f>
        <v>0.009589041095890411</v>
      </c>
      <c r="AA117" s="13">
        <f t="shared" si="21"/>
        <v>3421.954794520548</v>
      </c>
      <c r="AB117" s="106">
        <f t="shared" si="13"/>
        <v>8704.456164383562</v>
      </c>
      <c r="AC117" s="102">
        <f t="shared" si="14"/>
        <v>1.3998664156747813</v>
      </c>
      <c r="AD117" s="113">
        <f t="shared" si="15"/>
        <v>8704.456164383562</v>
      </c>
      <c r="AE117" s="52">
        <f t="shared" si="16"/>
        <v>1.9836363509620751</v>
      </c>
    </row>
    <row r="118" spans="2:31" s="27" customFormat="1" ht="12.75">
      <c r="B118" s="80">
        <v>114</v>
      </c>
      <c r="C118" s="35" t="s">
        <v>459</v>
      </c>
      <c r="D118" s="3" t="s">
        <v>394</v>
      </c>
      <c r="E118" s="39" t="s">
        <v>460</v>
      </c>
      <c r="F118" s="61"/>
      <c r="G118" s="4"/>
      <c r="H118" s="3"/>
      <c r="I118" s="10"/>
      <c r="J118" s="2"/>
      <c r="K118" s="6"/>
      <c r="L118" s="3"/>
      <c r="M118" s="10"/>
      <c r="N118" s="89"/>
      <c r="O118" s="90"/>
      <c r="P118" s="61">
        <v>159</v>
      </c>
      <c r="Q118" s="4" t="s">
        <v>202</v>
      </c>
      <c r="R118" s="3">
        <f>120/17520</f>
        <v>0.00684931506849315</v>
      </c>
      <c r="S118" s="12">
        <f t="shared" si="20"/>
        <v>3772.4246575342463</v>
      </c>
      <c r="T118" s="11">
        <v>148</v>
      </c>
      <c r="U118" s="4" t="s">
        <v>202</v>
      </c>
      <c r="V118" s="3">
        <f>120/17520</f>
        <v>0.00684931506849315</v>
      </c>
      <c r="W118" s="12">
        <f t="shared" si="19"/>
        <v>1.3835616438356164</v>
      </c>
      <c r="X118" s="11">
        <v>120</v>
      </c>
      <c r="Y118" s="4" t="s">
        <v>202</v>
      </c>
      <c r="Z118" s="3">
        <f>120/17520</f>
        <v>0.00684931506849315</v>
      </c>
      <c r="AA118" s="13">
        <f t="shared" si="21"/>
        <v>2444.253424657534</v>
      </c>
      <c r="AB118" s="106">
        <f t="shared" si="13"/>
        <v>6218.0616438356155</v>
      </c>
      <c r="AC118" s="102">
        <f t="shared" si="14"/>
        <v>0.9999999427209982</v>
      </c>
      <c r="AD118" s="113">
        <f t="shared" si="15"/>
        <v>6218.0616438356155</v>
      </c>
      <c r="AE118" s="52">
        <f t="shared" si="16"/>
        <v>1.4170182348329199</v>
      </c>
    </row>
    <row r="119" spans="2:31" s="27" customFormat="1" ht="12.75">
      <c r="B119" s="80">
        <v>115</v>
      </c>
      <c r="C119" s="35" t="s">
        <v>459</v>
      </c>
      <c r="D119" s="3" t="s">
        <v>394</v>
      </c>
      <c r="E119" s="39" t="s">
        <v>460</v>
      </c>
      <c r="F119" s="61"/>
      <c r="G119" s="4"/>
      <c r="H119" s="3"/>
      <c r="I119" s="10"/>
      <c r="J119" s="2"/>
      <c r="K119" s="6"/>
      <c r="L119" s="3"/>
      <c r="M119" s="10"/>
      <c r="N119" s="89"/>
      <c r="O119" s="90"/>
      <c r="P119" s="61">
        <v>178</v>
      </c>
      <c r="Q119" s="4" t="s">
        <v>362</v>
      </c>
      <c r="R119" s="3">
        <f>2/584</f>
        <v>0.003424657534246575</v>
      </c>
      <c r="S119" s="12">
        <f t="shared" si="20"/>
        <v>1886.2123287671232</v>
      </c>
      <c r="T119" s="11">
        <v>165</v>
      </c>
      <c r="U119" s="4" t="s">
        <v>362</v>
      </c>
      <c r="V119" s="3">
        <f>2/584</f>
        <v>0.003424657534246575</v>
      </c>
      <c r="W119" s="12">
        <f t="shared" si="19"/>
        <v>0.6917808219178082</v>
      </c>
      <c r="X119" s="11">
        <v>139</v>
      </c>
      <c r="Y119" s="4" t="s">
        <v>362</v>
      </c>
      <c r="Z119" s="3">
        <f>2/584</f>
        <v>0.003424657534246575</v>
      </c>
      <c r="AA119" s="13">
        <f t="shared" si="21"/>
        <v>1222.126712328767</v>
      </c>
      <c r="AB119" s="106">
        <f t="shared" si="13"/>
        <v>3109.0308219178078</v>
      </c>
      <c r="AC119" s="102">
        <f t="shared" si="14"/>
        <v>0.4999999713604991</v>
      </c>
      <c r="AD119" s="113">
        <f t="shared" si="15"/>
        <v>3109.0308219178078</v>
      </c>
      <c r="AE119" s="52">
        <f t="shared" si="16"/>
        <v>0.7085091174164599</v>
      </c>
    </row>
    <row r="120" spans="2:31" s="27" customFormat="1" ht="12.75">
      <c r="B120" s="80">
        <v>116</v>
      </c>
      <c r="C120" s="35" t="s">
        <v>360</v>
      </c>
      <c r="D120" s="3" t="s">
        <v>394</v>
      </c>
      <c r="E120" s="39" t="s">
        <v>361</v>
      </c>
      <c r="F120" s="61"/>
      <c r="G120" s="4"/>
      <c r="H120" s="14"/>
      <c r="I120" s="10"/>
      <c r="J120" s="11"/>
      <c r="K120" s="4"/>
      <c r="L120" s="3"/>
      <c r="M120" s="10"/>
      <c r="N120" s="89"/>
      <c r="O120" s="90"/>
      <c r="P120" s="61">
        <v>15</v>
      </c>
      <c r="Q120" s="4" t="s">
        <v>362</v>
      </c>
      <c r="R120" s="3">
        <f>2/584</f>
        <v>0.003424657534246575</v>
      </c>
      <c r="S120" s="12">
        <f t="shared" si="20"/>
        <v>1886.2123287671232</v>
      </c>
      <c r="T120" s="11">
        <v>27</v>
      </c>
      <c r="U120" s="4" t="s">
        <v>362</v>
      </c>
      <c r="V120" s="3">
        <f>2/584</f>
        <v>0.003424657534246575</v>
      </c>
      <c r="W120" s="12">
        <f t="shared" si="19"/>
        <v>0.6917808219178082</v>
      </c>
      <c r="X120" s="11">
        <v>6</v>
      </c>
      <c r="Y120" s="4" t="s">
        <v>362</v>
      </c>
      <c r="Z120" s="3">
        <f>2/584</f>
        <v>0.003424657534246575</v>
      </c>
      <c r="AA120" s="13">
        <f t="shared" si="21"/>
        <v>1222.126712328767</v>
      </c>
      <c r="AB120" s="106">
        <f t="shared" si="13"/>
        <v>3109.0308219178078</v>
      </c>
      <c r="AC120" s="102">
        <f t="shared" si="14"/>
        <v>0.4999999713604991</v>
      </c>
      <c r="AD120" s="113">
        <f t="shared" si="15"/>
        <v>3109.0308219178078</v>
      </c>
      <c r="AE120" s="52">
        <f t="shared" si="16"/>
        <v>0.7085091174164599</v>
      </c>
    </row>
    <row r="121" spans="2:31" s="27" customFormat="1" ht="12.75">
      <c r="B121" s="80">
        <v>117</v>
      </c>
      <c r="C121" s="35" t="s">
        <v>578</v>
      </c>
      <c r="D121" s="3" t="s">
        <v>100</v>
      </c>
      <c r="E121" s="39" t="s">
        <v>101</v>
      </c>
      <c r="F121" s="61">
        <v>41</v>
      </c>
      <c r="G121" s="4" t="s">
        <v>102</v>
      </c>
      <c r="H121" s="14">
        <f>30/17400</f>
        <v>0.0017241379310344827</v>
      </c>
      <c r="I121" s="10">
        <f>H121*204639</f>
        <v>352.82586206896553</v>
      </c>
      <c r="J121" s="11">
        <v>52</v>
      </c>
      <c r="K121" s="4" t="s">
        <v>102</v>
      </c>
      <c r="L121" s="3">
        <f>30/17400</f>
        <v>0.0017241379310344827</v>
      </c>
      <c r="M121" s="10">
        <f>L121*1067919</f>
        <v>1841.2396551724137</v>
      </c>
      <c r="N121" s="89">
        <f t="shared" si="17"/>
        <v>2194.065517241379</v>
      </c>
      <c r="O121" s="90">
        <f t="shared" si="18"/>
        <v>0.5000000039290939</v>
      </c>
      <c r="P121" s="61"/>
      <c r="Q121" s="4"/>
      <c r="R121" s="3"/>
      <c r="S121" s="12"/>
      <c r="T121" s="11"/>
      <c r="U121" s="4"/>
      <c r="V121" s="3"/>
      <c r="W121" s="12"/>
      <c r="X121" s="11"/>
      <c r="Y121" s="4"/>
      <c r="Z121" s="3"/>
      <c r="AA121" s="13"/>
      <c r="AB121" s="106"/>
      <c r="AC121" s="102"/>
      <c r="AD121" s="113">
        <f t="shared" si="15"/>
        <v>2194.065517241379</v>
      </c>
      <c r="AE121" s="52">
        <f t="shared" si="16"/>
        <v>0.5000000039290939</v>
      </c>
    </row>
    <row r="122" spans="2:31" s="27" customFormat="1" ht="12.75">
      <c r="B122" s="80">
        <v>118</v>
      </c>
      <c r="C122" s="35" t="s">
        <v>503</v>
      </c>
      <c r="D122" s="3" t="s">
        <v>504</v>
      </c>
      <c r="E122" s="39" t="s">
        <v>505</v>
      </c>
      <c r="F122" s="61"/>
      <c r="G122" s="4"/>
      <c r="H122" s="3"/>
      <c r="I122" s="10"/>
      <c r="J122" s="2"/>
      <c r="K122" s="6"/>
      <c r="L122" s="3"/>
      <c r="M122" s="10"/>
      <c r="N122" s="89"/>
      <c r="O122" s="90"/>
      <c r="P122" s="61">
        <v>203</v>
      </c>
      <c r="Q122" s="4" t="s">
        <v>407</v>
      </c>
      <c r="R122" s="3">
        <f>2/1752</f>
        <v>0.001141552511415525</v>
      </c>
      <c r="S122" s="12">
        <f aca="true" t="shared" si="22" ref="S122:S131">R122*550774</f>
        <v>628.7374429223744</v>
      </c>
      <c r="T122" s="11">
        <v>191</v>
      </c>
      <c r="U122" s="4" t="s">
        <v>407</v>
      </c>
      <c r="V122" s="3">
        <f>2/1752</f>
        <v>0.001141552511415525</v>
      </c>
      <c r="W122" s="12">
        <f aca="true" t="shared" si="23" ref="W122:W131">V122*202</f>
        <v>0.23059360730593606</v>
      </c>
      <c r="X122" s="11">
        <v>162</v>
      </c>
      <c r="Y122" s="4" t="s">
        <v>407</v>
      </c>
      <c r="Z122" s="3">
        <f>2/1752</f>
        <v>0.001141552511415525</v>
      </c>
      <c r="AA122" s="13">
        <f aca="true" t="shared" si="24" ref="AA122:AA131">Z122*356861</f>
        <v>407.3755707762557</v>
      </c>
      <c r="AB122" s="106">
        <f t="shared" si="13"/>
        <v>1036.343607305936</v>
      </c>
      <c r="AC122" s="102">
        <f t="shared" si="14"/>
        <v>0.1666666571201664</v>
      </c>
      <c r="AD122" s="113">
        <f t="shared" si="15"/>
        <v>1036.343607305936</v>
      </c>
      <c r="AE122" s="52">
        <f t="shared" si="16"/>
        <v>0.23616970580548666</v>
      </c>
    </row>
    <row r="123" spans="2:31" s="27" customFormat="1" ht="12.75">
      <c r="B123" s="80">
        <v>119</v>
      </c>
      <c r="C123" s="35" t="s">
        <v>473</v>
      </c>
      <c r="D123" s="3" t="s">
        <v>103</v>
      </c>
      <c r="E123" s="39" t="s">
        <v>104</v>
      </c>
      <c r="F123" s="61"/>
      <c r="G123" s="4"/>
      <c r="H123" s="3"/>
      <c r="I123" s="10"/>
      <c r="J123" s="2"/>
      <c r="K123" s="6"/>
      <c r="L123" s="3"/>
      <c r="M123" s="10"/>
      <c r="N123" s="89"/>
      <c r="O123" s="90"/>
      <c r="P123" s="61">
        <v>171</v>
      </c>
      <c r="Q123" s="4" t="s">
        <v>400</v>
      </c>
      <c r="R123" s="3">
        <f>1/584</f>
        <v>0.0017123287671232876</v>
      </c>
      <c r="S123" s="12">
        <f t="shared" si="22"/>
        <v>943.1061643835616</v>
      </c>
      <c r="T123" s="11">
        <v>158</v>
      </c>
      <c r="U123" s="4" t="s">
        <v>400</v>
      </c>
      <c r="V123" s="3">
        <f>1/584</f>
        <v>0.0017123287671232876</v>
      </c>
      <c r="W123" s="12">
        <f t="shared" si="23"/>
        <v>0.3458904109589041</v>
      </c>
      <c r="X123" s="11">
        <v>132</v>
      </c>
      <c r="Y123" s="4" t="s">
        <v>400</v>
      </c>
      <c r="Z123" s="3">
        <f>1/584</f>
        <v>0.0017123287671232876</v>
      </c>
      <c r="AA123" s="13">
        <f t="shared" si="24"/>
        <v>611.0633561643835</v>
      </c>
      <c r="AB123" s="106">
        <f t="shared" si="13"/>
        <v>1554.5154109589039</v>
      </c>
      <c r="AC123" s="102">
        <f t="shared" si="14"/>
        <v>0.24999998568024956</v>
      </c>
      <c r="AD123" s="113">
        <f t="shared" si="15"/>
        <v>1554.5154109589039</v>
      </c>
      <c r="AE123" s="52">
        <f t="shared" si="16"/>
        <v>0.35425455870822997</v>
      </c>
    </row>
    <row r="124" spans="2:31" s="27" customFormat="1" ht="12.75">
      <c r="B124" s="80">
        <v>120</v>
      </c>
      <c r="C124" s="35" t="s">
        <v>473</v>
      </c>
      <c r="D124" s="3" t="s">
        <v>103</v>
      </c>
      <c r="E124" s="39" t="s">
        <v>104</v>
      </c>
      <c r="F124" s="61">
        <v>42</v>
      </c>
      <c r="G124" s="4" t="s">
        <v>58</v>
      </c>
      <c r="H124" s="14">
        <f>45/17400</f>
        <v>0.002586206896551724</v>
      </c>
      <c r="I124" s="10">
        <f>H124*204639</f>
        <v>529.2387931034483</v>
      </c>
      <c r="J124" s="11">
        <v>54</v>
      </c>
      <c r="K124" s="4" t="s">
        <v>58</v>
      </c>
      <c r="L124" s="3">
        <f>45/17400</f>
        <v>0.002586206896551724</v>
      </c>
      <c r="M124" s="10">
        <f>L124*1067919</f>
        <v>2761.8594827586207</v>
      </c>
      <c r="N124" s="89">
        <f t="shared" si="17"/>
        <v>3291.098275862069</v>
      </c>
      <c r="O124" s="90">
        <f t="shared" si="18"/>
        <v>0.750000005893641</v>
      </c>
      <c r="P124" s="61">
        <v>69</v>
      </c>
      <c r="Q124" s="4" t="s">
        <v>367</v>
      </c>
      <c r="R124" s="3">
        <f>2/3504</f>
        <v>0.0005707762557077625</v>
      </c>
      <c r="S124" s="12">
        <f t="shared" si="22"/>
        <v>314.3687214611872</v>
      </c>
      <c r="T124" s="11">
        <v>61</v>
      </c>
      <c r="U124" s="4" t="s">
        <v>367</v>
      </c>
      <c r="V124" s="3">
        <f>2/3504</f>
        <v>0.0005707762557077625</v>
      </c>
      <c r="W124" s="12">
        <f t="shared" si="23"/>
        <v>0.11529680365296803</v>
      </c>
      <c r="X124" s="11">
        <v>43</v>
      </c>
      <c r="Y124" s="4" t="s">
        <v>367</v>
      </c>
      <c r="Z124" s="3">
        <f>2/3504</f>
        <v>0.0005707762557077625</v>
      </c>
      <c r="AA124" s="13">
        <f t="shared" si="24"/>
        <v>203.68778538812785</v>
      </c>
      <c r="AB124" s="106">
        <f t="shared" si="13"/>
        <v>518.171803652968</v>
      </c>
      <c r="AC124" s="102">
        <f t="shared" si="14"/>
        <v>0.0833333285600832</v>
      </c>
      <c r="AD124" s="113">
        <f t="shared" si="15"/>
        <v>3809.270079515037</v>
      </c>
      <c r="AE124" s="52">
        <f t="shared" si="16"/>
        <v>0.8680848587963844</v>
      </c>
    </row>
    <row r="125" spans="2:31" s="27" customFormat="1" ht="12.75">
      <c r="B125" s="80">
        <v>121</v>
      </c>
      <c r="C125" s="35" t="s">
        <v>105</v>
      </c>
      <c r="D125" s="82" t="s">
        <v>628</v>
      </c>
      <c r="E125" s="39" t="s">
        <v>475</v>
      </c>
      <c r="F125" s="61">
        <v>43</v>
      </c>
      <c r="G125" s="4" t="s">
        <v>58</v>
      </c>
      <c r="H125" s="14">
        <f>45/17400</f>
        <v>0.002586206896551724</v>
      </c>
      <c r="I125" s="10">
        <f>H125*204639</f>
        <v>529.2387931034483</v>
      </c>
      <c r="J125" s="11">
        <v>55</v>
      </c>
      <c r="K125" s="4" t="s">
        <v>58</v>
      </c>
      <c r="L125" s="3">
        <f>45/17400</f>
        <v>0.002586206896551724</v>
      </c>
      <c r="M125" s="10">
        <f>L125*1067919</f>
        <v>2761.8594827586207</v>
      </c>
      <c r="N125" s="89">
        <f t="shared" si="17"/>
        <v>3291.098275862069</v>
      </c>
      <c r="O125" s="90">
        <f t="shared" si="18"/>
        <v>0.750000005893641</v>
      </c>
      <c r="P125" s="61">
        <v>37</v>
      </c>
      <c r="Q125" s="4" t="s">
        <v>367</v>
      </c>
      <c r="R125" s="3">
        <f>2/3504</f>
        <v>0.0005707762557077625</v>
      </c>
      <c r="S125" s="12">
        <f t="shared" si="22"/>
        <v>314.3687214611872</v>
      </c>
      <c r="T125" s="70">
        <v>30</v>
      </c>
      <c r="U125" s="72" t="s">
        <v>367</v>
      </c>
      <c r="V125" s="64">
        <f>2/3504</f>
        <v>0.0005707762557077625</v>
      </c>
      <c r="W125" s="12">
        <f t="shared" si="23"/>
        <v>0.11529680365296803</v>
      </c>
      <c r="X125" s="11">
        <v>14</v>
      </c>
      <c r="Y125" s="4" t="s">
        <v>367</v>
      </c>
      <c r="Z125" s="3">
        <f>2/3504</f>
        <v>0.0005707762557077625</v>
      </c>
      <c r="AA125" s="13">
        <f t="shared" si="24"/>
        <v>203.68778538812785</v>
      </c>
      <c r="AB125" s="106">
        <f t="shared" si="13"/>
        <v>518.171803652968</v>
      </c>
      <c r="AC125" s="102">
        <f t="shared" si="14"/>
        <v>0.0833333285600832</v>
      </c>
      <c r="AD125" s="113">
        <f t="shared" si="15"/>
        <v>3809.270079515037</v>
      </c>
      <c r="AE125" s="52">
        <f t="shared" si="16"/>
        <v>0.8680848587963844</v>
      </c>
    </row>
    <row r="126" spans="2:31" s="27" customFormat="1" ht="12.75">
      <c r="B126" s="81">
        <v>122</v>
      </c>
      <c r="C126" s="77" t="s">
        <v>105</v>
      </c>
      <c r="D126" s="82" t="s">
        <v>628</v>
      </c>
      <c r="E126" s="65" t="s">
        <v>475</v>
      </c>
      <c r="F126" s="66"/>
      <c r="G126" s="72"/>
      <c r="H126" s="64"/>
      <c r="I126" s="69"/>
      <c r="J126" s="63"/>
      <c r="K126" s="83"/>
      <c r="L126" s="64"/>
      <c r="M126" s="69"/>
      <c r="N126" s="89"/>
      <c r="O126" s="90"/>
      <c r="P126" s="66">
        <v>174</v>
      </c>
      <c r="Q126" s="72" t="s">
        <v>400</v>
      </c>
      <c r="R126" s="64">
        <f>1/584</f>
        <v>0.0017123287671232876</v>
      </c>
      <c r="S126" s="71">
        <f t="shared" si="22"/>
        <v>943.1061643835616</v>
      </c>
      <c r="T126" s="70">
        <v>161</v>
      </c>
      <c r="U126" s="72" t="s">
        <v>400</v>
      </c>
      <c r="V126" s="64">
        <f>1/584</f>
        <v>0.0017123287671232876</v>
      </c>
      <c r="W126" s="71">
        <f t="shared" si="23"/>
        <v>0.3458904109589041</v>
      </c>
      <c r="X126" s="70">
        <v>135</v>
      </c>
      <c r="Y126" s="72" t="s">
        <v>400</v>
      </c>
      <c r="Z126" s="64">
        <f>1/584</f>
        <v>0.0017123287671232876</v>
      </c>
      <c r="AA126" s="73">
        <f t="shared" si="24"/>
        <v>611.0633561643835</v>
      </c>
      <c r="AB126" s="109">
        <f t="shared" si="13"/>
        <v>1554.5154109589039</v>
      </c>
      <c r="AC126" s="103">
        <f t="shared" si="14"/>
        <v>0.24999998568024956</v>
      </c>
      <c r="AD126" s="114">
        <f t="shared" si="15"/>
        <v>1554.5154109589039</v>
      </c>
      <c r="AE126" s="110">
        <f t="shared" si="16"/>
        <v>0.35425455870822997</v>
      </c>
    </row>
    <row r="127" spans="2:31" s="27" customFormat="1" ht="12.75">
      <c r="B127" s="80">
        <v>123</v>
      </c>
      <c r="C127" s="35" t="s">
        <v>579</v>
      </c>
      <c r="D127" s="3" t="s">
        <v>106</v>
      </c>
      <c r="E127" s="39" t="s">
        <v>107</v>
      </c>
      <c r="F127" s="61">
        <v>44</v>
      </c>
      <c r="G127" s="4" t="s">
        <v>108</v>
      </c>
      <c r="H127" s="14">
        <f>36/17400</f>
        <v>0.0020689655172413794</v>
      </c>
      <c r="I127" s="10">
        <f>H127*204639</f>
        <v>423.39103448275864</v>
      </c>
      <c r="J127" s="11">
        <v>56</v>
      </c>
      <c r="K127" s="4" t="s">
        <v>108</v>
      </c>
      <c r="L127" s="3">
        <f>36/17400</f>
        <v>0.0020689655172413794</v>
      </c>
      <c r="M127" s="10">
        <f>L127*1067919</f>
        <v>2209.4875862068966</v>
      </c>
      <c r="N127" s="89">
        <f t="shared" si="17"/>
        <v>2632.8786206896552</v>
      </c>
      <c r="O127" s="90">
        <f t="shared" si="18"/>
        <v>0.6000000047149128</v>
      </c>
      <c r="P127" s="61">
        <v>53</v>
      </c>
      <c r="Q127" s="4" t="s">
        <v>383</v>
      </c>
      <c r="R127" s="3">
        <f>12/5840</f>
        <v>0.002054794520547945</v>
      </c>
      <c r="S127" s="12">
        <f t="shared" si="22"/>
        <v>1131.7273972602738</v>
      </c>
      <c r="T127" s="11">
        <v>46</v>
      </c>
      <c r="U127" s="4" t="s">
        <v>383</v>
      </c>
      <c r="V127" s="3">
        <f>12/5840</f>
        <v>0.002054794520547945</v>
      </c>
      <c r="W127" s="12">
        <f t="shared" si="23"/>
        <v>0.4150684931506849</v>
      </c>
      <c r="X127" s="11">
        <v>29</v>
      </c>
      <c r="Y127" s="4" t="s">
        <v>383</v>
      </c>
      <c r="Z127" s="3">
        <f>12/5840</f>
        <v>0.002054794520547945</v>
      </c>
      <c r="AA127" s="13">
        <f t="shared" si="24"/>
        <v>733.2760273972602</v>
      </c>
      <c r="AB127" s="106">
        <f t="shared" si="13"/>
        <v>1865.4184931506848</v>
      </c>
      <c r="AC127" s="102">
        <f t="shared" si="14"/>
        <v>0.29999998281629947</v>
      </c>
      <c r="AD127" s="113">
        <f t="shared" si="15"/>
        <v>4498.29711384034</v>
      </c>
      <c r="AE127" s="52">
        <f t="shared" si="16"/>
        <v>1.0251054751647888</v>
      </c>
    </row>
    <row r="128" spans="2:31" s="27" customFormat="1" ht="12.75">
      <c r="B128" s="80">
        <v>124</v>
      </c>
      <c r="C128" s="35" t="s">
        <v>476</v>
      </c>
      <c r="D128" s="3" t="s">
        <v>123</v>
      </c>
      <c r="E128" s="39" t="s">
        <v>109</v>
      </c>
      <c r="F128" s="61"/>
      <c r="G128" s="4"/>
      <c r="H128" s="3"/>
      <c r="I128" s="10"/>
      <c r="J128" s="2"/>
      <c r="K128" s="6"/>
      <c r="L128" s="3"/>
      <c r="M128" s="10"/>
      <c r="N128" s="89"/>
      <c r="O128" s="90"/>
      <c r="P128" s="61">
        <v>175</v>
      </c>
      <c r="Q128" s="4" t="s">
        <v>400</v>
      </c>
      <c r="R128" s="3">
        <f>1/584</f>
        <v>0.0017123287671232876</v>
      </c>
      <c r="S128" s="12">
        <f t="shared" si="22"/>
        <v>943.1061643835616</v>
      </c>
      <c r="T128" s="11">
        <v>162</v>
      </c>
      <c r="U128" s="4" t="s">
        <v>400</v>
      </c>
      <c r="V128" s="3">
        <f>1/584</f>
        <v>0.0017123287671232876</v>
      </c>
      <c r="W128" s="12">
        <f t="shared" si="23"/>
        <v>0.3458904109589041</v>
      </c>
      <c r="X128" s="11">
        <v>136</v>
      </c>
      <c r="Y128" s="4" t="s">
        <v>400</v>
      </c>
      <c r="Z128" s="3">
        <f>1/584</f>
        <v>0.0017123287671232876</v>
      </c>
      <c r="AA128" s="13">
        <f t="shared" si="24"/>
        <v>611.0633561643835</v>
      </c>
      <c r="AB128" s="106">
        <f t="shared" si="13"/>
        <v>1554.5154109589039</v>
      </c>
      <c r="AC128" s="102">
        <f t="shared" si="14"/>
        <v>0.24999998568024956</v>
      </c>
      <c r="AD128" s="113">
        <f t="shared" si="15"/>
        <v>1554.5154109589039</v>
      </c>
      <c r="AE128" s="52">
        <f t="shared" si="16"/>
        <v>0.35425455870822997</v>
      </c>
    </row>
    <row r="129" spans="2:31" s="27" customFormat="1" ht="12.75">
      <c r="B129" s="80">
        <v>125</v>
      </c>
      <c r="C129" s="35" t="s">
        <v>476</v>
      </c>
      <c r="D129" s="3" t="s">
        <v>123</v>
      </c>
      <c r="E129" s="39" t="s">
        <v>109</v>
      </c>
      <c r="F129" s="61">
        <v>45</v>
      </c>
      <c r="G129" s="4" t="s">
        <v>58</v>
      </c>
      <c r="H129" s="14">
        <f>45/17400</f>
        <v>0.002586206896551724</v>
      </c>
      <c r="I129" s="10">
        <f>H129*204639</f>
        <v>529.2387931034483</v>
      </c>
      <c r="J129" s="11">
        <v>57</v>
      </c>
      <c r="K129" s="4" t="s">
        <v>58</v>
      </c>
      <c r="L129" s="3">
        <f>45/17400</f>
        <v>0.002586206896551724</v>
      </c>
      <c r="M129" s="10">
        <f>L129*1067919</f>
        <v>2761.8594827586207</v>
      </c>
      <c r="N129" s="89">
        <f t="shared" si="17"/>
        <v>3291.098275862069</v>
      </c>
      <c r="O129" s="90">
        <f t="shared" si="18"/>
        <v>0.750000005893641</v>
      </c>
      <c r="P129" s="61">
        <v>68</v>
      </c>
      <c r="Q129" s="4" t="s">
        <v>367</v>
      </c>
      <c r="R129" s="3">
        <f>2/3504</f>
        <v>0.0005707762557077625</v>
      </c>
      <c r="S129" s="12">
        <f t="shared" si="22"/>
        <v>314.3687214611872</v>
      </c>
      <c r="T129" s="11">
        <v>60</v>
      </c>
      <c r="U129" s="4" t="s">
        <v>367</v>
      </c>
      <c r="V129" s="3">
        <f>2/3504</f>
        <v>0.0005707762557077625</v>
      </c>
      <c r="W129" s="12">
        <f t="shared" si="23"/>
        <v>0.11529680365296803</v>
      </c>
      <c r="X129" s="11">
        <v>42</v>
      </c>
      <c r="Y129" s="4" t="s">
        <v>367</v>
      </c>
      <c r="Z129" s="3">
        <f>2/3504</f>
        <v>0.0005707762557077625</v>
      </c>
      <c r="AA129" s="13">
        <f t="shared" si="24"/>
        <v>203.68778538812785</v>
      </c>
      <c r="AB129" s="106">
        <f t="shared" si="13"/>
        <v>518.171803652968</v>
      </c>
      <c r="AC129" s="102">
        <f t="shared" si="14"/>
        <v>0.0833333285600832</v>
      </c>
      <c r="AD129" s="113">
        <f t="shared" si="15"/>
        <v>3809.270079515037</v>
      </c>
      <c r="AE129" s="52">
        <f t="shared" si="16"/>
        <v>0.8680848587963844</v>
      </c>
    </row>
    <row r="130" spans="2:31" s="27" customFormat="1" ht="12.75">
      <c r="B130" s="80">
        <v>126</v>
      </c>
      <c r="C130" s="35" t="s">
        <v>580</v>
      </c>
      <c r="D130" s="3" t="s">
        <v>110</v>
      </c>
      <c r="E130" s="39" t="s">
        <v>111</v>
      </c>
      <c r="F130" s="61">
        <v>46</v>
      </c>
      <c r="G130" s="4" t="s">
        <v>58</v>
      </c>
      <c r="H130" s="14">
        <f>45/17400</f>
        <v>0.002586206896551724</v>
      </c>
      <c r="I130" s="10">
        <f>H130*204639</f>
        <v>529.2387931034483</v>
      </c>
      <c r="J130" s="11">
        <v>58</v>
      </c>
      <c r="K130" s="4" t="s">
        <v>58</v>
      </c>
      <c r="L130" s="14">
        <f>45/17400</f>
        <v>0.002586206896551724</v>
      </c>
      <c r="M130" s="10">
        <f>L130*1067919</f>
        <v>2761.8594827586207</v>
      </c>
      <c r="N130" s="89">
        <f t="shared" si="17"/>
        <v>3291.098275862069</v>
      </c>
      <c r="O130" s="90">
        <f t="shared" si="18"/>
        <v>0.750000005893641</v>
      </c>
      <c r="P130" s="61">
        <v>67</v>
      </c>
      <c r="Q130" s="4" t="s">
        <v>367</v>
      </c>
      <c r="R130" s="14">
        <f>2/3504</f>
        <v>0.0005707762557077625</v>
      </c>
      <c r="S130" s="12">
        <f t="shared" si="22"/>
        <v>314.3687214611872</v>
      </c>
      <c r="T130" s="11">
        <v>59</v>
      </c>
      <c r="U130" s="4" t="s">
        <v>367</v>
      </c>
      <c r="V130" s="14">
        <f>2/3504</f>
        <v>0.0005707762557077625</v>
      </c>
      <c r="W130" s="12">
        <f t="shared" si="23"/>
        <v>0.11529680365296803</v>
      </c>
      <c r="X130" s="11">
        <v>41</v>
      </c>
      <c r="Y130" s="4" t="s">
        <v>367</v>
      </c>
      <c r="Z130" s="3">
        <f>2/3504</f>
        <v>0.0005707762557077625</v>
      </c>
      <c r="AA130" s="13">
        <f t="shared" si="24"/>
        <v>203.68778538812785</v>
      </c>
      <c r="AB130" s="106">
        <f t="shared" si="13"/>
        <v>518.171803652968</v>
      </c>
      <c r="AC130" s="102">
        <f t="shared" si="14"/>
        <v>0.0833333285600832</v>
      </c>
      <c r="AD130" s="113">
        <f t="shared" si="15"/>
        <v>3809.270079515037</v>
      </c>
      <c r="AE130" s="52">
        <f t="shared" si="16"/>
        <v>0.8680848587963844</v>
      </c>
    </row>
    <row r="131" spans="2:31" s="27" customFormat="1" ht="12.75">
      <c r="B131" s="80">
        <v>127</v>
      </c>
      <c r="C131" s="35" t="s">
        <v>581</v>
      </c>
      <c r="D131" s="3" t="s">
        <v>474</v>
      </c>
      <c r="E131" s="39" t="s">
        <v>111</v>
      </c>
      <c r="F131" s="61"/>
      <c r="G131" s="4"/>
      <c r="H131" s="3"/>
      <c r="I131" s="10"/>
      <c r="J131" s="2"/>
      <c r="K131" s="6"/>
      <c r="L131" s="3"/>
      <c r="M131" s="10"/>
      <c r="N131" s="89"/>
      <c r="O131" s="90"/>
      <c r="P131" s="61">
        <v>172</v>
      </c>
      <c r="Q131" s="4" t="s">
        <v>400</v>
      </c>
      <c r="R131" s="3">
        <f>1/584</f>
        <v>0.0017123287671232876</v>
      </c>
      <c r="S131" s="12">
        <f t="shared" si="22"/>
        <v>943.1061643835616</v>
      </c>
      <c r="T131" s="11">
        <v>159</v>
      </c>
      <c r="U131" s="4" t="s">
        <v>400</v>
      </c>
      <c r="V131" s="3">
        <f>1/584</f>
        <v>0.0017123287671232876</v>
      </c>
      <c r="W131" s="12">
        <f t="shared" si="23"/>
        <v>0.3458904109589041</v>
      </c>
      <c r="X131" s="11">
        <v>133</v>
      </c>
      <c r="Y131" s="4" t="s">
        <v>400</v>
      </c>
      <c r="Z131" s="3">
        <f>1/584</f>
        <v>0.0017123287671232876</v>
      </c>
      <c r="AA131" s="13">
        <f t="shared" si="24"/>
        <v>611.0633561643835</v>
      </c>
      <c r="AB131" s="106">
        <f t="shared" si="13"/>
        <v>1554.5154109589039</v>
      </c>
      <c r="AC131" s="102">
        <f t="shared" si="14"/>
        <v>0.24999998568024956</v>
      </c>
      <c r="AD131" s="113">
        <f t="shared" si="15"/>
        <v>1554.5154109589039</v>
      </c>
      <c r="AE131" s="52">
        <f t="shared" si="16"/>
        <v>0.35425455870822997</v>
      </c>
    </row>
    <row r="132" spans="2:31" s="27" customFormat="1" ht="12.75">
      <c r="B132" s="80">
        <v>128</v>
      </c>
      <c r="C132" s="35" t="s">
        <v>605</v>
      </c>
      <c r="D132" s="3" t="s">
        <v>324</v>
      </c>
      <c r="E132" s="39" t="s">
        <v>325</v>
      </c>
      <c r="F132" s="61"/>
      <c r="G132" s="4"/>
      <c r="H132" s="14"/>
      <c r="I132" s="10"/>
      <c r="J132" s="11">
        <v>53</v>
      </c>
      <c r="K132" s="4" t="s">
        <v>16</v>
      </c>
      <c r="L132" s="14">
        <f>72/17400</f>
        <v>0.004137931034482759</v>
      </c>
      <c r="M132" s="10">
        <f>L132*1067919</f>
        <v>4418.975172413793</v>
      </c>
      <c r="N132" s="89">
        <f t="shared" si="17"/>
        <v>4418.975172413793</v>
      </c>
      <c r="O132" s="90">
        <f t="shared" si="18"/>
        <v>1.0070289999122162</v>
      </c>
      <c r="P132" s="61"/>
      <c r="Q132" s="4"/>
      <c r="R132" s="3"/>
      <c r="S132" s="12"/>
      <c r="T132" s="11"/>
      <c r="U132" s="4"/>
      <c r="V132" s="3"/>
      <c r="W132" s="12"/>
      <c r="X132" s="11"/>
      <c r="Y132" s="4"/>
      <c r="Z132" s="3"/>
      <c r="AA132" s="13"/>
      <c r="AB132" s="106"/>
      <c r="AC132" s="102"/>
      <c r="AD132" s="113">
        <f t="shared" si="15"/>
        <v>4418.975172413793</v>
      </c>
      <c r="AE132" s="52">
        <f t="shared" si="16"/>
        <v>1.0070289999122162</v>
      </c>
    </row>
    <row r="133" spans="2:31" s="27" customFormat="1" ht="12.75">
      <c r="B133" s="80">
        <v>129</v>
      </c>
      <c r="C133" s="35" t="s">
        <v>227</v>
      </c>
      <c r="D133" s="3" t="s">
        <v>630</v>
      </c>
      <c r="E133" s="39" t="s">
        <v>228</v>
      </c>
      <c r="F133" s="61">
        <v>108</v>
      </c>
      <c r="G133" s="6" t="s">
        <v>114</v>
      </c>
      <c r="H133" s="14">
        <f>240/17400</f>
        <v>0.013793103448275862</v>
      </c>
      <c r="I133" s="10">
        <f>H133*204639</f>
        <v>2822.6068965517243</v>
      </c>
      <c r="J133" s="11"/>
      <c r="K133" s="4"/>
      <c r="L133" s="3"/>
      <c r="M133" s="10"/>
      <c r="N133" s="89">
        <f t="shared" si="17"/>
        <v>2822.6068965517243</v>
      </c>
      <c r="O133" s="90">
        <f t="shared" si="18"/>
        <v>0.6432366983920316</v>
      </c>
      <c r="P133" s="61">
        <v>186</v>
      </c>
      <c r="Q133" s="4" t="s">
        <v>202</v>
      </c>
      <c r="R133" s="3">
        <f>120/17520</f>
        <v>0.00684931506849315</v>
      </c>
      <c r="S133" s="12">
        <f>R133*550774</f>
        <v>3772.4246575342463</v>
      </c>
      <c r="T133" s="11">
        <v>173</v>
      </c>
      <c r="U133" s="4" t="s">
        <v>202</v>
      </c>
      <c r="V133" s="3">
        <f>120/17520</f>
        <v>0.00684931506849315</v>
      </c>
      <c r="W133" s="12">
        <f>V133*202</f>
        <v>1.3835616438356164</v>
      </c>
      <c r="X133" s="11">
        <v>145</v>
      </c>
      <c r="Y133" s="4" t="s">
        <v>202</v>
      </c>
      <c r="Z133" s="3">
        <f>120/17520</f>
        <v>0.00684931506849315</v>
      </c>
      <c r="AA133" s="13">
        <f>Z133*356861</f>
        <v>2444.253424657534</v>
      </c>
      <c r="AB133" s="106">
        <f t="shared" si="13"/>
        <v>6218.0616438356155</v>
      </c>
      <c r="AC133" s="102">
        <f t="shared" si="14"/>
        <v>0.9999999427209982</v>
      </c>
      <c r="AD133" s="113">
        <f t="shared" si="15"/>
        <v>9040.66854038734</v>
      </c>
      <c r="AE133" s="52">
        <f t="shared" si="16"/>
        <v>2.0602549332249516</v>
      </c>
    </row>
    <row r="134" spans="2:31" s="27" customFormat="1" ht="12.75">
      <c r="B134" s="80">
        <v>130</v>
      </c>
      <c r="C134" s="35" t="s">
        <v>429</v>
      </c>
      <c r="D134" s="3" t="s">
        <v>430</v>
      </c>
      <c r="E134" s="39" t="s">
        <v>431</v>
      </c>
      <c r="F134" s="61"/>
      <c r="G134" s="4"/>
      <c r="H134" s="3"/>
      <c r="I134" s="10"/>
      <c r="J134" s="2"/>
      <c r="K134" s="6"/>
      <c r="L134" s="3"/>
      <c r="M134" s="10"/>
      <c r="N134" s="89"/>
      <c r="O134" s="90"/>
      <c r="P134" s="61">
        <v>90</v>
      </c>
      <c r="Q134" s="4" t="s">
        <v>368</v>
      </c>
      <c r="R134" s="3">
        <f>8/1752</f>
        <v>0.0045662100456621</v>
      </c>
      <c r="S134" s="12">
        <f>R134*550774</f>
        <v>2514.9497716894975</v>
      </c>
      <c r="T134" s="11"/>
      <c r="U134" s="4"/>
      <c r="V134" s="3"/>
      <c r="W134" s="12"/>
      <c r="X134" s="11">
        <v>63</v>
      </c>
      <c r="Y134" s="4" t="s">
        <v>368</v>
      </c>
      <c r="Z134" s="3">
        <f>8/1752</f>
        <v>0.0045662100456621</v>
      </c>
      <c r="AA134" s="13">
        <f>Z134*356861</f>
        <v>1629.5022831050228</v>
      </c>
      <c r="AB134" s="106">
        <f aca="true" t="shared" si="25" ref="AB134:AB196">S134+W134+AA134</f>
        <v>4144.45205479452</v>
      </c>
      <c r="AC134" s="102">
        <f aca="true" t="shared" si="26" ref="AC134:AC196">(S134+W134+AA134)/6218.062</f>
        <v>0.6665182905533139</v>
      </c>
      <c r="AD134" s="113">
        <f aca="true" t="shared" si="27" ref="AD134:AD196">I134+M134+S134+W134+AA134</f>
        <v>4144.45205479452</v>
      </c>
      <c r="AE134" s="52">
        <f aca="true" t="shared" si="28" ref="AE134:AE196">AD134/4388.131</f>
        <v>0.9444686256619321</v>
      </c>
    </row>
    <row r="135" spans="2:31" s="27" customFormat="1" ht="12.75">
      <c r="B135" s="80">
        <v>131</v>
      </c>
      <c r="C135" s="35" t="s">
        <v>326</v>
      </c>
      <c r="D135" s="3" t="s">
        <v>327</v>
      </c>
      <c r="E135" s="39" t="s">
        <v>328</v>
      </c>
      <c r="F135" s="61"/>
      <c r="G135" s="4"/>
      <c r="H135" s="14"/>
      <c r="I135" s="10"/>
      <c r="J135" s="11">
        <v>59</v>
      </c>
      <c r="K135" s="4" t="s">
        <v>114</v>
      </c>
      <c r="L135" s="3">
        <f>240/17400</f>
        <v>0.013793103448275862</v>
      </c>
      <c r="M135" s="10">
        <f>L135*1067919</f>
        <v>14729.91724137931</v>
      </c>
      <c r="N135" s="89">
        <f aca="true" t="shared" si="29" ref="N135:N197">I135+M135</f>
        <v>14729.91724137931</v>
      </c>
      <c r="O135" s="90">
        <f aca="true" t="shared" si="30" ref="O135:O197">(I135+M135)/4388.131</f>
        <v>3.3567633330407203</v>
      </c>
      <c r="P135" s="61"/>
      <c r="Q135" s="4"/>
      <c r="R135" s="3"/>
      <c r="S135" s="12"/>
      <c r="T135" s="11"/>
      <c r="U135" s="4"/>
      <c r="V135" s="3"/>
      <c r="W135" s="12"/>
      <c r="X135" s="11"/>
      <c r="Y135" s="4"/>
      <c r="Z135" s="3"/>
      <c r="AA135" s="13"/>
      <c r="AB135" s="106"/>
      <c r="AC135" s="102"/>
      <c r="AD135" s="113">
        <f t="shared" si="27"/>
        <v>14729.91724137931</v>
      </c>
      <c r="AE135" s="52">
        <f t="shared" si="28"/>
        <v>3.3567633330407203</v>
      </c>
    </row>
    <row r="136" spans="2:31" s="27" customFormat="1" ht="12.75">
      <c r="B136" s="80">
        <v>132</v>
      </c>
      <c r="C136" s="35" t="s">
        <v>264</v>
      </c>
      <c r="D136" s="3" t="s">
        <v>265</v>
      </c>
      <c r="E136" s="39" t="s">
        <v>266</v>
      </c>
      <c r="F136" s="61">
        <v>123</v>
      </c>
      <c r="G136" s="4" t="s">
        <v>114</v>
      </c>
      <c r="H136" s="14">
        <f>240/17400</f>
        <v>0.013793103448275862</v>
      </c>
      <c r="I136" s="10">
        <f>H136*204639</f>
        <v>2822.6068965517243</v>
      </c>
      <c r="J136" s="11">
        <v>60</v>
      </c>
      <c r="K136" s="4" t="s">
        <v>114</v>
      </c>
      <c r="L136" s="3">
        <f>240/17400</f>
        <v>0.013793103448275862</v>
      </c>
      <c r="M136" s="10">
        <f>L136*1067919</f>
        <v>14729.91724137931</v>
      </c>
      <c r="N136" s="89">
        <f t="shared" si="29"/>
        <v>17552.524137931032</v>
      </c>
      <c r="O136" s="90">
        <f t="shared" si="30"/>
        <v>4.0000000314327515</v>
      </c>
      <c r="P136" s="61">
        <v>60</v>
      </c>
      <c r="Q136" s="4" t="s">
        <v>356</v>
      </c>
      <c r="R136" s="3">
        <f>4/584</f>
        <v>0.00684931506849315</v>
      </c>
      <c r="S136" s="12">
        <f>R136*550774</f>
        <v>3772.4246575342463</v>
      </c>
      <c r="T136" s="11">
        <v>187</v>
      </c>
      <c r="U136" s="4" t="s">
        <v>202</v>
      </c>
      <c r="V136" s="3">
        <f>120/17520</f>
        <v>0.00684931506849315</v>
      </c>
      <c r="W136" s="12">
        <f>V136*202</f>
        <v>1.3835616438356164</v>
      </c>
      <c r="X136" s="11">
        <v>34</v>
      </c>
      <c r="Y136" s="4" t="s">
        <v>356</v>
      </c>
      <c r="Z136" s="3">
        <f>4/584</f>
        <v>0.00684931506849315</v>
      </c>
      <c r="AA136" s="13">
        <f>Z136*356861</f>
        <v>2444.253424657534</v>
      </c>
      <c r="AB136" s="106">
        <f t="shared" si="25"/>
        <v>6218.0616438356155</v>
      </c>
      <c r="AC136" s="102">
        <f t="shared" si="26"/>
        <v>0.9999999427209982</v>
      </c>
      <c r="AD136" s="113">
        <f t="shared" si="27"/>
        <v>23770.58578176665</v>
      </c>
      <c r="AE136" s="52">
        <f t="shared" si="28"/>
        <v>5.417018266265672</v>
      </c>
    </row>
    <row r="137" spans="2:31" s="27" customFormat="1" ht="12.75">
      <c r="B137" s="80">
        <v>133</v>
      </c>
      <c r="C137" s="35" t="s">
        <v>447</v>
      </c>
      <c r="D137" s="3" t="s">
        <v>448</v>
      </c>
      <c r="E137" s="39" t="s">
        <v>449</v>
      </c>
      <c r="F137" s="61"/>
      <c r="G137" s="4"/>
      <c r="H137" s="3"/>
      <c r="I137" s="10"/>
      <c r="J137" s="2"/>
      <c r="K137" s="6"/>
      <c r="L137" s="3"/>
      <c r="M137" s="10"/>
      <c r="N137" s="89"/>
      <c r="O137" s="90"/>
      <c r="P137" s="61">
        <v>127</v>
      </c>
      <c r="Q137" s="4" t="s">
        <v>202</v>
      </c>
      <c r="R137" s="3">
        <f>120/17520</f>
        <v>0.00684931506849315</v>
      </c>
      <c r="S137" s="12">
        <f>R137*550774</f>
        <v>3772.4246575342463</v>
      </c>
      <c r="T137" s="11">
        <v>115</v>
      </c>
      <c r="U137" s="4" t="s">
        <v>202</v>
      </c>
      <c r="V137" s="3">
        <f>120/17520</f>
        <v>0.00684931506849315</v>
      </c>
      <c r="W137" s="12">
        <f>V137*202</f>
        <v>1.3835616438356164</v>
      </c>
      <c r="X137" s="11">
        <v>93</v>
      </c>
      <c r="Y137" s="6" t="s">
        <v>202</v>
      </c>
      <c r="Z137" s="3">
        <f>120/17520</f>
        <v>0.00684931506849315</v>
      </c>
      <c r="AA137" s="13">
        <f>Z137*356861</f>
        <v>2444.253424657534</v>
      </c>
      <c r="AB137" s="106">
        <f t="shared" si="25"/>
        <v>6218.0616438356155</v>
      </c>
      <c r="AC137" s="102">
        <f t="shared" si="26"/>
        <v>0.9999999427209982</v>
      </c>
      <c r="AD137" s="113">
        <f t="shared" si="27"/>
        <v>6218.0616438356155</v>
      </c>
      <c r="AE137" s="52">
        <f t="shared" si="28"/>
        <v>1.4170182348329199</v>
      </c>
    </row>
    <row r="138" spans="2:31" s="27" customFormat="1" ht="12.75">
      <c r="B138" s="80">
        <v>134</v>
      </c>
      <c r="C138" s="36" t="s">
        <v>582</v>
      </c>
      <c r="D138" s="24" t="s">
        <v>112</v>
      </c>
      <c r="E138" s="40" t="s">
        <v>113</v>
      </c>
      <c r="F138" s="60">
        <v>50</v>
      </c>
      <c r="G138" s="20" t="s">
        <v>114</v>
      </c>
      <c r="H138" s="21">
        <f>240/17400</f>
        <v>0.013793103448275862</v>
      </c>
      <c r="I138" s="22">
        <f>H138*204639</f>
        <v>2822.6068965517243</v>
      </c>
      <c r="J138" s="23">
        <v>61</v>
      </c>
      <c r="K138" s="20" t="s">
        <v>114</v>
      </c>
      <c r="L138" s="21">
        <f>240/17400</f>
        <v>0.013793103448275862</v>
      </c>
      <c r="M138" s="22">
        <f>L138*1067919</f>
        <v>14729.91724137931</v>
      </c>
      <c r="N138" s="89">
        <f t="shared" si="29"/>
        <v>17552.524137931032</v>
      </c>
      <c r="O138" s="90">
        <f t="shared" si="30"/>
        <v>4.0000000314327515</v>
      </c>
      <c r="P138" s="60">
        <v>128</v>
      </c>
      <c r="Q138" s="20" t="s">
        <v>202</v>
      </c>
      <c r="R138" s="21">
        <f>120/17520</f>
        <v>0.00684931506849315</v>
      </c>
      <c r="S138" s="25">
        <f>R138*550774</f>
        <v>3772.4246575342463</v>
      </c>
      <c r="T138" s="23">
        <v>14</v>
      </c>
      <c r="U138" s="20" t="s">
        <v>356</v>
      </c>
      <c r="V138" s="21">
        <f>4/584</f>
        <v>0.00684931506849315</v>
      </c>
      <c r="W138" s="25">
        <f>V138*202</f>
        <v>1.3835616438356164</v>
      </c>
      <c r="X138" s="23">
        <v>94</v>
      </c>
      <c r="Y138" s="20" t="s">
        <v>202</v>
      </c>
      <c r="Z138" s="24">
        <f>120/17520</f>
        <v>0.00684931506849315</v>
      </c>
      <c r="AA138" s="26">
        <f>Z138*356861</f>
        <v>2444.253424657534</v>
      </c>
      <c r="AB138" s="106">
        <f t="shared" si="25"/>
        <v>6218.0616438356155</v>
      </c>
      <c r="AC138" s="102">
        <f t="shared" si="26"/>
        <v>0.9999999427209982</v>
      </c>
      <c r="AD138" s="113">
        <f t="shared" si="27"/>
        <v>23770.58578176665</v>
      </c>
      <c r="AE138" s="52">
        <f t="shared" si="28"/>
        <v>5.417018266265672</v>
      </c>
    </row>
    <row r="139" spans="2:31" s="27" customFormat="1" ht="12.75">
      <c r="B139" s="80">
        <v>135</v>
      </c>
      <c r="C139" s="35" t="s">
        <v>583</v>
      </c>
      <c r="D139" s="3" t="s">
        <v>112</v>
      </c>
      <c r="E139" s="39" t="s">
        <v>113</v>
      </c>
      <c r="F139" s="61"/>
      <c r="G139" s="4"/>
      <c r="H139" s="3"/>
      <c r="I139" s="10"/>
      <c r="J139" s="2"/>
      <c r="K139" s="6"/>
      <c r="L139" s="3"/>
      <c r="M139" s="10"/>
      <c r="N139" s="89"/>
      <c r="O139" s="90"/>
      <c r="P139" s="61"/>
      <c r="Q139" s="4"/>
      <c r="R139" s="3"/>
      <c r="S139" s="12"/>
      <c r="T139" s="11">
        <v>116</v>
      </c>
      <c r="U139" s="4" t="s">
        <v>202</v>
      </c>
      <c r="V139" s="3">
        <f>120/17520</f>
        <v>0.00684931506849315</v>
      </c>
      <c r="W139" s="12">
        <f>V139*202</f>
        <v>1.3835616438356164</v>
      </c>
      <c r="X139" s="11"/>
      <c r="Y139" s="4"/>
      <c r="Z139" s="3"/>
      <c r="AA139" s="13"/>
      <c r="AB139" s="106">
        <f>S139+W139+AA139</f>
        <v>1.3835616438356164</v>
      </c>
      <c r="AC139" s="102">
        <f>(S139+W139+AA139)/6218.062</f>
        <v>0.00022250689102739992</v>
      </c>
      <c r="AD139" s="113">
        <f>I139+M139+S139+W139+AA139</f>
        <v>1.3835616438356164</v>
      </c>
      <c r="AE139" s="52">
        <f>AD139/4388.131</f>
        <v>0.0003152963400216667</v>
      </c>
    </row>
    <row r="140" spans="2:31" s="27" customFormat="1" ht="12.75">
      <c r="B140" s="80">
        <v>136</v>
      </c>
      <c r="C140" s="35" t="s">
        <v>583</v>
      </c>
      <c r="D140" s="3" t="s">
        <v>329</v>
      </c>
      <c r="E140" s="39" t="s">
        <v>330</v>
      </c>
      <c r="F140" s="61"/>
      <c r="G140" s="4"/>
      <c r="H140" s="14"/>
      <c r="I140" s="10"/>
      <c r="J140" s="11">
        <v>62</v>
      </c>
      <c r="K140" s="4" t="s">
        <v>31</v>
      </c>
      <c r="L140" s="3">
        <f>420/17400</f>
        <v>0.02413793103448276</v>
      </c>
      <c r="M140" s="10">
        <f aca="true" t="shared" si="31" ref="M140:M145">L140*1067919</f>
        <v>25777.355172413794</v>
      </c>
      <c r="N140" s="89">
        <f t="shared" si="29"/>
        <v>25777.355172413794</v>
      </c>
      <c r="O140" s="90">
        <f t="shared" si="30"/>
        <v>5.874335832821261</v>
      </c>
      <c r="P140" s="61"/>
      <c r="Q140" s="4"/>
      <c r="R140" s="3"/>
      <c r="S140" s="12"/>
      <c r="T140" s="11"/>
      <c r="U140" s="4"/>
      <c r="V140" s="3"/>
      <c r="W140" s="12"/>
      <c r="X140" s="11"/>
      <c r="Y140" s="4"/>
      <c r="Z140" s="3"/>
      <c r="AA140" s="13"/>
      <c r="AB140" s="106"/>
      <c r="AC140" s="102"/>
      <c r="AD140" s="113">
        <f t="shared" si="27"/>
        <v>25777.355172413794</v>
      </c>
      <c r="AE140" s="52">
        <f t="shared" si="28"/>
        <v>5.874335832821261</v>
      </c>
    </row>
    <row r="141" spans="2:31" s="27" customFormat="1" ht="12.75">
      <c r="B141" s="80">
        <v>137</v>
      </c>
      <c r="C141" s="35" t="s">
        <v>115</v>
      </c>
      <c r="D141" s="3" t="s">
        <v>119</v>
      </c>
      <c r="E141" s="39" t="s">
        <v>116</v>
      </c>
      <c r="F141" s="61">
        <v>52</v>
      </c>
      <c r="G141" s="4" t="s">
        <v>22</v>
      </c>
      <c r="H141" s="3">
        <f>180/17400</f>
        <v>0.010344827586206896</v>
      </c>
      <c r="I141" s="10">
        <f>H141*204639</f>
        <v>2116.955172413793</v>
      </c>
      <c r="J141" s="11">
        <v>64</v>
      </c>
      <c r="K141" s="4" t="s">
        <v>22</v>
      </c>
      <c r="L141" s="3">
        <f>180/17400</f>
        <v>0.010344827586206896</v>
      </c>
      <c r="M141" s="10">
        <f t="shared" si="31"/>
        <v>11047.437931034483</v>
      </c>
      <c r="N141" s="89">
        <f t="shared" si="29"/>
        <v>13164.393103448276</v>
      </c>
      <c r="O141" s="90">
        <f t="shared" si="30"/>
        <v>3.000000023574564</v>
      </c>
      <c r="P141" s="61"/>
      <c r="Q141" s="4"/>
      <c r="R141" s="3"/>
      <c r="S141" s="12"/>
      <c r="T141" s="11"/>
      <c r="U141" s="4"/>
      <c r="V141" s="3"/>
      <c r="W141" s="12"/>
      <c r="X141" s="11"/>
      <c r="Y141" s="4"/>
      <c r="Z141" s="3"/>
      <c r="AA141" s="13"/>
      <c r="AB141" s="106"/>
      <c r="AC141" s="102"/>
      <c r="AD141" s="113">
        <f t="shared" si="27"/>
        <v>13164.393103448276</v>
      </c>
      <c r="AE141" s="52">
        <f t="shared" si="28"/>
        <v>3.000000023574564</v>
      </c>
    </row>
    <row r="142" spans="2:31" s="27" customFormat="1" ht="12.75">
      <c r="B142" s="80">
        <v>138</v>
      </c>
      <c r="C142" s="35" t="s">
        <v>117</v>
      </c>
      <c r="D142" s="3" t="s">
        <v>118</v>
      </c>
      <c r="E142" s="39" t="s">
        <v>120</v>
      </c>
      <c r="F142" s="61">
        <v>53</v>
      </c>
      <c r="G142" s="4" t="s">
        <v>47</v>
      </c>
      <c r="H142" s="14">
        <f>105/17400</f>
        <v>0.00603448275862069</v>
      </c>
      <c r="I142" s="10">
        <f>H142*204639</f>
        <v>1234.8905172413793</v>
      </c>
      <c r="J142" s="11">
        <v>63</v>
      </c>
      <c r="K142" s="4" t="s">
        <v>47</v>
      </c>
      <c r="L142" s="3">
        <f>105/17400</f>
        <v>0.00603448275862069</v>
      </c>
      <c r="M142" s="10">
        <f t="shared" si="31"/>
        <v>6444.338793103449</v>
      </c>
      <c r="N142" s="89">
        <f t="shared" si="29"/>
        <v>7679.229310344828</v>
      </c>
      <c r="O142" s="90">
        <f t="shared" si="30"/>
        <v>1.7500000137518292</v>
      </c>
      <c r="P142" s="61"/>
      <c r="Q142" s="4"/>
      <c r="R142" s="3"/>
      <c r="S142" s="12"/>
      <c r="T142" s="11"/>
      <c r="U142" s="4"/>
      <c r="V142" s="3"/>
      <c r="W142" s="12"/>
      <c r="X142" s="11"/>
      <c r="Y142" s="4"/>
      <c r="Z142" s="3"/>
      <c r="AA142" s="13"/>
      <c r="AB142" s="106"/>
      <c r="AC142" s="102"/>
      <c r="AD142" s="113">
        <f t="shared" si="27"/>
        <v>7679.229310344828</v>
      </c>
      <c r="AE142" s="52">
        <f t="shared" si="28"/>
        <v>1.7500000137518292</v>
      </c>
    </row>
    <row r="143" spans="2:31" s="27" customFormat="1" ht="12.75">
      <c r="B143" s="80">
        <v>139</v>
      </c>
      <c r="C143" s="35" t="s">
        <v>331</v>
      </c>
      <c r="D143" s="3" t="s">
        <v>124</v>
      </c>
      <c r="E143" s="39" t="s">
        <v>129</v>
      </c>
      <c r="F143" s="61">
        <v>55</v>
      </c>
      <c r="G143" s="4" t="s">
        <v>125</v>
      </c>
      <c r="H143" s="14">
        <f>162/17400</f>
        <v>0.009310344827586206</v>
      </c>
      <c r="I143" s="10">
        <f>H143*204639</f>
        <v>1905.2596551724137</v>
      </c>
      <c r="J143" s="11">
        <v>65</v>
      </c>
      <c r="K143" s="4" t="s">
        <v>125</v>
      </c>
      <c r="L143" s="14">
        <f>162/17400</f>
        <v>0.009310344827586206</v>
      </c>
      <c r="M143" s="10">
        <f t="shared" si="31"/>
        <v>9942.694137931034</v>
      </c>
      <c r="N143" s="89">
        <f t="shared" si="29"/>
        <v>11847.953793103447</v>
      </c>
      <c r="O143" s="90">
        <f t="shared" si="30"/>
        <v>2.7000000212171074</v>
      </c>
      <c r="P143" s="61">
        <v>129</v>
      </c>
      <c r="Q143" s="4" t="s">
        <v>450</v>
      </c>
      <c r="R143" s="14">
        <f>8/2920</f>
        <v>0.0027397260273972603</v>
      </c>
      <c r="S143" s="12">
        <f aca="true" t="shared" si="32" ref="S143:S150">R143*550774</f>
        <v>1508.9698630136986</v>
      </c>
      <c r="T143" s="11"/>
      <c r="U143" s="4"/>
      <c r="V143" s="14"/>
      <c r="W143" s="12"/>
      <c r="X143" s="11">
        <v>95</v>
      </c>
      <c r="Y143" s="4" t="s">
        <v>450</v>
      </c>
      <c r="Z143" s="3">
        <f>8/2920</f>
        <v>0.0027397260273972603</v>
      </c>
      <c r="AA143" s="13">
        <f aca="true" t="shared" si="33" ref="AA143:AA149">Z143*356861</f>
        <v>977.7013698630137</v>
      </c>
      <c r="AB143" s="106">
        <f t="shared" si="25"/>
        <v>2486.6712328767126</v>
      </c>
      <c r="AC143" s="102">
        <f t="shared" si="26"/>
        <v>0.3999109743319884</v>
      </c>
      <c r="AD143" s="113">
        <f t="shared" si="27"/>
        <v>14334.62502598016</v>
      </c>
      <c r="AE143" s="52">
        <f t="shared" si="28"/>
        <v>3.266681196614267</v>
      </c>
    </row>
    <row r="144" spans="2:31" s="27" customFormat="1" ht="12.75">
      <c r="B144" s="80">
        <v>140</v>
      </c>
      <c r="C144" s="35" t="s">
        <v>332</v>
      </c>
      <c r="D144" s="3" t="s">
        <v>121</v>
      </c>
      <c r="E144" s="39" t="s">
        <v>122</v>
      </c>
      <c r="F144" s="61">
        <v>54</v>
      </c>
      <c r="G144" s="4" t="s">
        <v>16</v>
      </c>
      <c r="H144" s="14">
        <f>72/17400</f>
        <v>0.004137931034482759</v>
      </c>
      <c r="I144" s="10">
        <f>H144*204639</f>
        <v>846.7820689655173</v>
      </c>
      <c r="J144" s="11">
        <v>66</v>
      </c>
      <c r="K144" s="4" t="s">
        <v>16</v>
      </c>
      <c r="L144" s="14">
        <f>72/17400</f>
        <v>0.004137931034482759</v>
      </c>
      <c r="M144" s="10">
        <f t="shared" si="31"/>
        <v>4418.975172413793</v>
      </c>
      <c r="N144" s="89">
        <f t="shared" si="29"/>
        <v>5265.7572413793105</v>
      </c>
      <c r="O144" s="90">
        <f t="shared" si="30"/>
        <v>1.2000000094298255</v>
      </c>
      <c r="P144" s="61">
        <v>50</v>
      </c>
      <c r="Q144" s="4" t="s">
        <v>382</v>
      </c>
      <c r="R144" s="14">
        <f>12/2920</f>
        <v>0.00410958904109589</v>
      </c>
      <c r="S144" s="12">
        <f t="shared" si="32"/>
        <v>2263.4547945205477</v>
      </c>
      <c r="T144" s="11">
        <v>43</v>
      </c>
      <c r="U144" s="4" t="s">
        <v>382</v>
      </c>
      <c r="V144" s="14">
        <f>12/2920</f>
        <v>0.00410958904109589</v>
      </c>
      <c r="W144" s="12">
        <f aca="true" t="shared" si="34" ref="W144:W150">V144*202</f>
        <v>0.8301369863013698</v>
      </c>
      <c r="X144" s="11">
        <v>26</v>
      </c>
      <c r="Y144" s="4" t="s">
        <v>382</v>
      </c>
      <c r="Z144" s="3">
        <f>12/2920</f>
        <v>0.00410958904109589</v>
      </c>
      <c r="AA144" s="13">
        <f t="shared" si="33"/>
        <v>1466.5520547945205</v>
      </c>
      <c r="AB144" s="106">
        <f t="shared" si="25"/>
        <v>3730.8369863013695</v>
      </c>
      <c r="AC144" s="102">
        <f t="shared" si="26"/>
        <v>0.5999999656325989</v>
      </c>
      <c r="AD144" s="113">
        <f t="shared" si="27"/>
        <v>8996.59422768068</v>
      </c>
      <c r="AE144" s="52">
        <f t="shared" si="28"/>
        <v>2.0502109503295776</v>
      </c>
    </row>
    <row r="145" spans="2:31" s="27" customFormat="1" ht="12.75">
      <c r="B145" s="80">
        <v>141</v>
      </c>
      <c r="C145" s="35" t="s">
        <v>126</v>
      </c>
      <c r="D145" s="3" t="s">
        <v>127</v>
      </c>
      <c r="E145" s="39" t="s">
        <v>128</v>
      </c>
      <c r="F145" s="61">
        <v>56</v>
      </c>
      <c r="G145" s="4" t="s">
        <v>130</v>
      </c>
      <c r="H145" s="14">
        <f>480/17400</f>
        <v>0.027586206896551724</v>
      </c>
      <c r="I145" s="10">
        <f>H145*204639</f>
        <v>5645.213793103449</v>
      </c>
      <c r="J145" s="11">
        <v>67</v>
      </c>
      <c r="K145" s="4" t="s">
        <v>130</v>
      </c>
      <c r="L145" s="3">
        <f>480/17400</f>
        <v>0.027586206896551724</v>
      </c>
      <c r="M145" s="10">
        <f t="shared" si="31"/>
        <v>29459.83448275862</v>
      </c>
      <c r="N145" s="89">
        <f t="shared" si="29"/>
        <v>35105.048275862064</v>
      </c>
      <c r="O145" s="90">
        <f t="shared" si="30"/>
        <v>8.000000062865503</v>
      </c>
      <c r="P145" s="61">
        <v>9</v>
      </c>
      <c r="Q145" s="4" t="s">
        <v>356</v>
      </c>
      <c r="R145" s="3">
        <f>4/584</f>
        <v>0.00684931506849315</v>
      </c>
      <c r="S145" s="12">
        <f t="shared" si="32"/>
        <v>3772.4246575342463</v>
      </c>
      <c r="T145" s="23">
        <v>9</v>
      </c>
      <c r="U145" s="20" t="s">
        <v>356</v>
      </c>
      <c r="V145" s="21">
        <f>4/584</f>
        <v>0.00684931506849315</v>
      </c>
      <c r="W145" s="12">
        <f t="shared" si="34"/>
        <v>1.3835616438356164</v>
      </c>
      <c r="X145" s="11">
        <v>4</v>
      </c>
      <c r="Y145" s="4" t="s">
        <v>356</v>
      </c>
      <c r="Z145" s="3">
        <f>4/584</f>
        <v>0.00684931506849315</v>
      </c>
      <c r="AA145" s="13">
        <f t="shared" si="33"/>
        <v>2444.253424657534</v>
      </c>
      <c r="AB145" s="106">
        <f t="shared" si="25"/>
        <v>6218.0616438356155</v>
      </c>
      <c r="AC145" s="102">
        <f t="shared" si="26"/>
        <v>0.9999999427209982</v>
      </c>
      <c r="AD145" s="113">
        <f t="shared" si="27"/>
        <v>41323.10991969769</v>
      </c>
      <c r="AE145" s="52">
        <f t="shared" si="28"/>
        <v>9.417018297698425</v>
      </c>
    </row>
    <row r="146" spans="2:31" s="27" customFormat="1" ht="12.75">
      <c r="B146" s="80">
        <v>142</v>
      </c>
      <c r="C146" s="35" t="s">
        <v>126</v>
      </c>
      <c r="D146" s="3" t="s">
        <v>127</v>
      </c>
      <c r="E146" s="39" t="s">
        <v>128</v>
      </c>
      <c r="F146" s="61"/>
      <c r="G146" s="4"/>
      <c r="H146" s="3"/>
      <c r="I146" s="10"/>
      <c r="J146" s="2"/>
      <c r="K146" s="6"/>
      <c r="L146" s="3"/>
      <c r="M146" s="10"/>
      <c r="N146" s="89"/>
      <c r="O146" s="90"/>
      <c r="P146" s="61">
        <v>130</v>
      </c>
      <c r="Q146" s="4" t="s">
        <v>451</v>
      </c>
      <c r="R146" s="3">
        <f>420/17520</f>
        <v>0.023972602739726026</v>
      </c>
      <c r="S146" s="12">
        <f t="shared" si="32"/>
        <v>13203.486301369861</v>
      </c>
      <c r="T146" s="11">
        <v>118</v>
      </c>
      <c r="U146" s="4" t="s">
        <v>451</v>
      </c>
      <c r="V146" s="3">
        <f>420/17520</f>
        <v>0.023972602739726026</v>
      </c>
      <c r="W146" s="12">
        <f t="shared" si="34"/>
        <v>4.842465753424658</v>
      </c>
      <c r="X146" s="11">
        <v>96</v>
      </c>
      <c r="Y146" s="4" t="s">
        <v>451</v>
      </c>
      <c r="Z146" s="3">
        <f>420/17520</f>
        <v>0.023972602739726026</v>
      </c>
      <c r="AA146" s="13">
        <f t="shared" si="33"/>
        <v>8554.88698630137</v>
      </c>
      <c r="AB146" s="106">
        <f t="shared" si="25"/>
        <v>21763.215753424658</v>
      </c>
      <c r="AC146" s="102">
        <f t="shared" si="26"/>
        <v>3.4999997995234944</v>
      </c>
      <c r="AD146" s="113">
        <f t="shared" si="27"/>
        <v>21763.215753424658</v>
      </c>
      <c r="AE146" s="52">
        <f t="shared" si="28"/>
        <v>4.9595638219152205</v>
      </c>
    </row>
    <row r="147" spans="2:31" s="27" customFormat="1" ht="12.75">
      <c r="B147" s="80">
        <v>143</v>
      </c>
      <c r="C147" s="35" t="s">
        <v>408</v>
      </c>
      <c r="D147" s="3" t="s">
        <v>409</v>
      </c>
      <c r="E147" s="39" t="s">
        <v>410</v>
      </c>
      <c r="F147" s="61"/>
      <c r="G147" s="4"/>
      <c r="H147" s="3"/>
      <c r="I147" s="10"/>
      <c r="J147" s="2"/>
      <c r="K147" s="6"/>
      <c r="L147" s="3"/>
      <c r="M147" s="10"/>
      <c r="N147" s="89"/>
      <c r="O147" s="90"/>
      <c r="P147" s="61">
        <v>78</v>
      </c>
      <c r="Q147" s="4" t="s">
        <v>407</v>
      </c>
      <c r="R147" s="14">
        <f>2/1752</f>
        <v>0.001141552511415525</v>
      </c>
      <c r="S147" s="12">
        <f t="shared" si="32"/>
        <v>628.7374429223744</v>
      </c>
      <c r="T147" s="11">
        <v>69</v>
      </c>
      <c r="U147" s="4" t="s">
        <v>407</v>
      </c>
      <c r="V147" s="14">
        <f>2/1752</f>
        <v>0.001141552511415525</v>
      </c>
      <c r="W147" s="12">
        <f t="shared" si="34"/>
        <v>0.23059360730593606</v>
      </c>
      <c r="X147" s="11">
        <v>52</v>
      </c>
      <c r="Y147" s="4" t="s">
        <v>407</v>
      </c>
      <c r="Z147" s="3">
        <f>2/1752</f>
        <v>0.001141552511415525</v>
      </c>
      <c r="AA147" s="13">
        <f t="shared" si="33"/>
        <v>407.3755707762557</v>
      </c>
      <c r="AB147" s="106">
        <f t="shared" si="25"/>
        <v>1036.343607305936</v>
      </c>
      <c r="AC147" s="102">
        <f t="shared" si="26"/>
        <v>0.1666666571201664</v>
      </c>
      <c r="AD147" s="113">
        <f t="shared" si="27"/>
        <v>1036.343607305936</v>
      </c>
      <c r="AE147" s="52">
        <f t="shared" si="28"/>
        <v>0.23616970580548666</v>
      </c>
    </row>
    <row r="148" spans="2:31" s="27" customFormat="1" ht="12.75">
      <c r="B148" s="80">
        <v>144</v>
      </c>
      <c r="C148" s="35" t="s">
        <v>412</v>
      </c>
      <c r="D148" s="3" t="s">
        <v>413</v>
      </c>
      <c r="E148" s="39" t="s">
        <v>414</v>
      </c>
      <c r="F148" s="61"/>
      <c r="G148" s="4"/>
      <c r="H148" s="3"/>
      <c r="I148" s="10"/>
      <c r="J148" s="2"/>
      <c r="K148" s="6"/>
      <c r="L148" s="3"/>
      <c r="M148" s="10"/>
      <c r="N148" s="89"/>
      <c r="O148" s="90"/>
      <c r="P148" s="61">
        <v>80</v>
      </c>
      <c r="Q148" s="4" t="s">
        <v>407</v>
      </c>
      <c r="R148" s="14">
        <f>2/1752</f>
        <v>0.001141552511415525</v>
      </c>
      <c r="S148" s="12">
        <f t="shared" si="32"/>
        <v>628.7374429223744</v>
      </c>
      <c r="T148" s="11">
        <v>71</v>
      </c>
      <c r="U148" s="4" t="s">
        <v>407</v>
      </c>
      <c r="V148" s="14">
        <f>2/1752</f>
        <v>0.001141552511415525</v>
      </c>
      <c r="W148" s="12">
        <f t="shared" si="34"/>
        <v>0.23059360730593606</v>
      </c>
      <c r="X148" s="11">
        <v>54</v>
      </c>
      <c r="Y148" s="4" t="s">
        <v>407</v>
      </c>
      <c r="Z148" s="3">
        <f>2/1752</f>
        <v>0.001141552511415525</v>
      </c>
      <c r="AA148" s="13">
        <f t="shared" si="33"/>
        <v>407.3755707762557</v>
      </c>
      <c r="AB148" s="106">
        <f t="shared" si="25"/>
        <v>1036.343607305936</v>
      </c>
      <c r="AC148" s="102">
        <f t="shared" si="26"/>
        <v>0.1666666571201664</v>
      </c>
      <c r="AD148" s="113">
        <f t="shared" si="27"/>
        <v>1036.343607305936</v>
      </c>
      <c r="AE148" s="52">
        <f t="shared" si="28"/>
        <v>0.23616970580548666</v>
      </c>
    </row>
    <row r="149" spans="2:31" s="27" customFormat="1" ht="12.75">
      <c r="B149" s="80">
        <v>145</v>
      </c>
      <c r="C149" s="35" t="s">
        <v>404</v>
      </c>
      <c r="D149" s="3" t="s">
        <v>405</v>
      </c>
      <c r="E149" s="39" t="s">
        <v>406</v>
      </c>
      <c r="F149" s="61"/>
      <c r="G149" s="4"/>
      <c r="H149" s="3"/>
      <c r="I149" s="10"/>
      <c r="J149" s="2"/>
      <c r="K149" s="6"/>
      <c r="L149" s="3"/>
      <c r="M149" s="10"/>
      <c r="N149" s="89"/>
      <c r="O149" s="90"/>
      <c r="P149" s="61">
        <v>77</v>
      </c>
      <c r="Q149" s="4" t="s">
        <v>407</v>
      </c>
      <c r="R149" s="14">
        <f>2/1752</f>
        <v>0.001141552511415525</v>
      </c>
      <c r="S149" s="12">
        <f t="shared" si="32"/>
        <v>628.7374429223744</v>
      </c>
      <c r="T149" s="11">
        <v>68</v>
      </c>
      <c r="U149" s="4" t="s">
        <v>407</v>
      </c>
      <c r="V149" s="14">
        <f>2/1752</f>
        <v>0.001141552511415525</v>
      </c>
      <c r="W149" s="12">
        <f t="shared" si="34"/>
        <v>0.23059360730593606</v>
      </c>
      <c r="X149" s="11">
        <v>51</v>
      </c>
      <c r="Y149" s="4" t="s">
        <v>407</v>
      </c>
      <c r="Z149" s="3">
        <f>2/1752</f>
        <v>0.001141552511415525</v>
      </c>
      <c r="AA149" s="13">
        <f t="shared" si="33"/>
        <v>407.3755707762557</v>
      </c>
      <c r="AB149" s="106">
        <f t="shared" si="25"/>
        <v>1036.343607305936</v>
      </c>
      <c r="AC149" s="102">
        <f t="shared" si="26"/>
        <v>0.1666666571201664</v>
      </c>
      <c r="AD149" s="113">
        <f t="shared" si="27"/>
        <v>1036.343607305936</v>
      </c>
      <c r="AE149" s="52">
        <f t="shared" si="28"/>
        <v>0.23616970580548666</v>
      </c>
    </row>
    <row r="150" spans="2:31" s="27" customFormat="1" ht="12.75">
      <c r="B150" s="80">
        <v>146</v>
      </c>
      <c r="C150" s="35" t="s">
        <v>374</v>
      </c>
      <c r="D150" s="3" t="s">
        <v>629</v>
      </c>
      <c r="E150" s="41" t="s">
        <v>375</v>
      </c>
      <c r="F150" s="61"/>
      <c r="G150" s="4"/>
      <c r="H150" s="14"/>
      <c r="I150" s="10"/>
      <c r="J150" s="11"/>
      <c r="K150" s="4"/>
      <c r="L150" s="3"/>
      <c r="M150" s="10"/>
      <c r="N150" s="89"/>
      <c r="O150" s="90"/>
      <c r="P150" s="61">
        <v>43</v>
      </c>
      <c r="Q150" s="4" t="s">
        <v>371</v>
      </c>
      <c r="R150" s="3">
        <f>1/1533</f>
        <v>0.0006523157208088715</v>
      </c>
      <c r="S150" s="12">
        <f t="shared" si="32"/>
        <v>359.27853881278537</v>
      </c>
      <c r="T150" s="11">
        <v>36</v>
      </c>
      <c r="U150" s="4" t="s">
        <v>371</v>
      </c>
      <c r="V150" s="3">
        <f>1/1533</f>
        <v>0.0006523157208088715</v>
      </c>
      <c r="W150" s="12">
        <f t="shared" si="34"/>
        <v>0.13176777560339203</v>
      </c>
      <c r="X150" s="11">
        <v>19</v>
      </c>
      <c r="Y150" s="4" t="s">
        <v>371</v>
      </c>
      <c r="Z150" s="3">
        <f>1/1533</f>
        <v>0.0006523157208088715</v>
      </c>
      <c r="AA150" s="13">
        <f>Z150*356861</f>
        <v>232.78604044357468</v>
      </c>
      <c r="AB150" s="106">
        <f t="shared" si="25"/>
        <v>592.1963470319635</v>
      </c>
      <c r="AC150" s="102">
        <f t="shared" si="26"/>
        <v>0.09523808978295223</v>
      </c>
      <c r="AD150" s="113">
        <f t="shared" si="27"/>
        <v>592.1963470319635</v>
      </c>
      <c r="AE150" s="52">
        <f t="shared" si="28"/>
        <v>0.13495411760313522</v>
      </c>
    </row>
    <row r="151" spans="2:31" s="27" customFormat="1" ht="12.75">
      <c r="B151" s="80">
        <v>148</v>
      </c>
      <c r="C151" s="35" t="s">
        <v>584</v>
      </c>
      <c r="D151" s="3" t="s">
        <v>140</v>
      </c>
      <c r="E151" s="39" t="s">
        <v>141</v>
      </c>
      <c r="F151" s="61">
        <v>63</v>
      </c>
      <c r="G151" s="4" t="s">
        <v>47</v>
      </c>
      <c r="H151" s="14">
        <f>105/17400</f>
        <v>0.00603448275862069</v>
      </c>
      <c r="I151" s="10">
        <f>H151*204639</f>
        <v>1234.8905172413793</v>
      </c>
      <c r="J151" s="11">
        <v>68</v>
      </c>
      <c r="K151" s="4" t="s">
        <v>47</v>
      </c>
      <c r="L151" s="3">
        <f>105/17400</f>
        <v>0.00603448275862069</v>
      </c>
      <c r="M151" s="10">
        <f>L151*1067919</f>
        <v>6444.338793103449</v>
      </c>
      <c r="N151" s="89">
        <f t="shared" si="29"/>
        <v>7679.229310344828</v>
      </c>
      <c r="O151" s="90">
        <f t="shared" si="30"/>
        <v>1.7500000137518292</v>
      </c>
      <c r="P151" s="61"/>
      <c r="Q151" s="4"/>
      <c r="R151" s="3"/>
      <c r="S151" s="12"/>
      <c r="T151" s="11"/>
      <c r="U151" s="4"/>
      <c r="V151" s="14"/>
      <c r="W151" s="12"/>
      <c r="X151" s="11"/>
      <c r="Y151" s="4"/>
      <c r="Z151" s="3"/>
      <c r="AA151" s="13"/>
      <c r="AB151" s="106"/>
      <c r="AC151" s="102"/>
      <c r="AD151" s="113">
        <f t="shared" si="27"/>
        <v>7679.229310344828</v>
      </c>
      <c r="AE151" s="52">
        <f t="shared" si="28"/>
        <v>1.7500000137518292</v>
      </c>
    </row>
    <row r="152" spans="2:31" s="27" customFormat="1" ht="12.75">
      <c r="B152" s="80">
        <v>149</v>
      </c>
      <c r="C152" s="35" t="s">
        <v>251</v>
      </c>
      <c r="D152" s="5" t="s">
        <v>252</v>
      </c>
      <c r="E152" s="39" t="s">
        <v>253</v>
      </c>
      <c r="F152" s="61">
        <v>118</v>
      </c>
      <c r="G152" s="4" t="s">
        <v>16</v>
      </c>
      <c r="H152" s="14">
        <f>72/17400</f>
        <v>0.004137931034482759</v>
      </c>
      <c r="I152" s="10">
        <f>H152*204639</f>
        <v>846.7820689655173</v>
      </c>
      <c r="J152" s="11"/>
      <c r="K152" s="4"/>
      <c r="L152" s="3"/>
      <c r="M152" s="10"/>
      <c r="N152" s="89">
        <f t="shared" si="29"/>
        <v>846.7820689655173</v>
      </c>
      <c r="O152" s="90">
        <f t="shared" si="30"/>
        <v>0.19297100951760948</v>
      </c>
      <c r="P152" s="61">
        <v>194</v>
      </c>
      <c r="Q152" s="4" t="s">
        <v>382</v>
      </c>
      <c r="R152" s="3">
        <f>12/2920</f>
        <v>0.00410958904109589</v>
      </c>
      <c r="S152" s="12">
        <f>R152*550774</f>
        <v>2263.4547945205477</v>
      </c>
      <c r="T152" s="11">
        <v>181</v>
      </c>
      <c r="U152" s="4" t="s">
        <v>382</v>
      </c>
      <c r="V152" s="3">
        <f>12/2920</f>
        <v>0.00410958904109589</v>
      </c>
      <c r="W152" s="12">
        <f aca="true" t="shared" si="35" ref="W152:W160">V152*202</f>
        <v>0.8301369863013698</v>
      </c>
      <c r="X152" s="11">
        <v>153</v>
      </c>
      <c r="Y152" s="4" t="s">
        <v>382</v>
      </c>
      <c r="Z152" s="3">
        <f>12/2920</f>
        <v>0.00410958904109589</v>
      </c>
      <c r="AA152" s="13">
        <f>Z152*356861</f>
        <v>1466.5520547945205</v>
      </c>
      <c r="AB152" s="106">
        <f t="shared" si="25"/>
        <v>3730.8369863013695</v>
      </c>
      <c r="AC152" s="102">
        <f t="shared" si="26"/>
        <v>0.5999999656325989</v>
      </c>
      <c r="AD152" s="113">
        <f t="shared" si="27"/>
        <v>4577.619055266887</v>
      </c>
      <c r="AE152" s="52">
        <f t="shared" si="28"/>
        <v>1.0431819504173614</v>
      </c>
    </row>
    <row r="153" spans="2:31" s="27" customFormat="1" ht="12.75">
      <c r="B153" s="80">
        <v>150</v>
      </c>
      <c r="C153" s="35" t="s">
        <v>365</v>
      </c>
      <c r="D153" s="3" t="s">
        <v>137</v>
      </c>
      <c r="E153" s="39" t="s">
        <v>366</v>
      </c>
      <c r="F153" s="61"/>
      <c r="G153" s="4"/>
      <c r="H153" s="14"/>
      <c r="I153" s="10"/>
      <c r="J153" s="11"/>
      <c r="K153" s="4"/>
      <c r="L153" s="3"/>
      <c r="M153" s="10"/>
      <c r="N153" s="89"/>
      <c r="O153" s="90"/>
      <c r="P153" s="61">
        <v>34</v>
      </c>
      <c r="Q153" s="4" t="s">
        <v>357</v>
      </c>
      <c r="R153" s="3">
        <f>8/584</f>
        <v>0.0136986301369863</v>
      </c>
      <c r="S153" s="12">
        <f>R153*550774</f>
        <v>7544.849315068493</v>
      </c>
      <c r="T153" s="11">
        <v>26</v>
      </c>
      <c r="U153" s="4" t="s">
        <v>357</v>
      </c>
      <c r="V153" s="14">
        <f>8/584</f>
        <v>0.0136986301369863</v>
      </c>
      <c r="W153" s="12">
        <f t="shared" si="35"/>
        <v>2.767123287671233</v>
      </c>
      <c r="X153" s="11">
        <v>12</v>
      </c>
      <c r="Y153" s="4" t="s">
        <v>357</v>
      </c>
      <c r="Z153" s="3">
        <f>8/584</f>
        <v>0.0136986301369863</v>
      </c>
      <c r="AA153" s="13">
        <f>Z153*356861</f>
        <v>4888.506849315068</v>
      </c>
      <c r="AB153" s="106">
        <f t="shared" si="25"/>
        <v>12436.123287671231</v>
      </c>
      <c r="AC153" s="102">
        <f t="shared" si="26"/>
        <v>1.9999998854419965</v>
      </c>
      <c r="AD153" s="113">
        <f t="shared" si="27"/>
        <v>12436.123287671231</v>
      </c>
      <c r="AE153" s="52">
        <f t="shared" si="28"/>
        <v>2.8340364696658398</v>
      </c>
    </row>
    <row r="154" spans="2:31" s="27" customFormat="1" ht="12.75">
      <c r="B154" s="80">
        <v>151</v>
      </c>
      <c r="C154" s="35" t="s">
        <v>631</v>
      </c>
      <c r="D154" s="3" t="s">
        <v>137</v>
      </c>
      <c r="E154" s="39" t="s">
        <v>138</v>
      </c>
      <c r="F154" s="61">
        <v>62</v>
      </c>
      <c r="G154" s="4" t="s">
        <v>139</v>
      </c>
      <c r="H154" s="14">
        <f>510/17400</f>
        <v>0.029310344827586206</v>
      </c>
      <c r="I154" s="10">
        <f>H154*204639</f>
        <v>5998.039655172413</v>
      </c>
      <c r="J154" s="11">
        <v>69</v>
      </c>
      <c r="K154" s="4" t="s">
        <v>139</v>
      </c>
      <c r="L154" s="3">
        <f>510/17400</f>
        <v>0.029310344827586206</v>
      </c>
      <c r="M154" s="10">
        <f>L154*1067919</f>
        <v>31301.074137931035</v>
      </c>
      <c r="N154" s="89">
        <f t="shared" si="29"/>
        <v>37299.11379310345</v>
      </c>
      <c r="O154" s="90">
        <f t="shared" si="30"/>
        <v>8.500000066794598</v>
      </c>
      <c r="P154" s="61">
        <v>135</v>
      </c>
      <c r="Q154" s="4" t="s">
        <v>445</v>
      </c>
      <c r="R154" s="3">
        <f>360/17520</f>
        <v>0.02054794520547945</v>
      </c>
      <c r="S154" s="12">
        <f>R154*550774</f>
        <v>11317.27397260274</v>
      </c>
      <c r="T154" s="11">
        <v>72</v>
      </c>
      <c r="U154" s="4" t="s">
        <v>357</v>
      </c>
      <c r="V154" s="14">
        <f>8/584</f>
        <v>0.0136986301369863</v>
      </c>
      <c r="W154" s="12">
        <f t="shared" si="35"/>
        <v>2.767123287671233</v>
      </c>
      <c r="X154" s="11">
        <v>99</v>
      </c>
      <c r="Y154" s="4" t="s">
        <v>445</v>
      </c>
      <c r="Z154" s="3">
        <f>360/17520</f>
        <v>0.02054794520547945</v>
      </c>
      <c r="AA154" s="13">
        <f>Z154*356861</f>
        <v>7332.760273972603</v>
      </c>
      <c r="AB154" s="106">
        <f t="shared" si="25"/>
        <v>18652.801369863013</v>
      </c>
      <c r="AC154" s="102">
        <f t="shared" si="26"/>
        <v>2.9997773212719676</v>
      </c>
      <c r="AD154" s="113">
        <f t="shared" si="27"/>
        <v>55951.915162966456</v>
      </c>
      <c r="AE154" s="52">
        <f t="shared" si="28"/>
        <v>12.750739474953335</v>
      </c>
    </row>
    <row r="155" spans="2:31" s="27" customFormat="1" ht="12.75">
      <c r="B155" s="80">
        <v>152</v>
      </c>
      <c r="C155" s="35" t="s">
        <v>631</v>
      </c>
      <c r="D155" s="3" t="s">
        <v>137</v>
      </c>
      <c r="E155" s="39" t="s">
        <v>138</v>
      </c>
      <c r="F155" s="61"/>
      <c r="G155" s="4"/>
      <c r="H155" s="3"/>
      <c r="I155" s="10"/>
      <c r="J155" s="2"/>
      <c r="K155" s="6"/>
      <c r="L155" s="3"/>
      <c r="M155" s="10"/>
      <c r="N155" s="89"/>
      <c r="O155" s="90"/>
      <c r="P155" s="61"/>
      <c r="Q155" s="4"/>
      <c r="R155" s="3"/>
      <c r="S155" s="12"/>
      <c r="T155" s="11">
        <v>123</v>
      </c>
      <c r="U155" s="4" t="s">
        <v>529</v>
      </c>
      <c r="V155" s="3">
        <f>600/17520</f>
        <v>0.03424657534246575</v>
      </c>
      <c r="W155" s="12">
        <f t="shared" si="35"/>
        <v>6.917808219178082</v>
      </c>
      <c r="X155" s="11"/>
      <c r="Y155" s="4"/>
      <c r="Z155" s="3"/>
      <c r="AA155" s="13"/>
      <c r="AB155" s="106">
        <f t="shared" si="25"/>
        <v>6.917808219178082</v>
      </c>
      <c r="AC155" s="102">
        <f t="shared" si="26"/>
        <v>0.0011125344551369996</v>
      </c>
      <c r="AD155" s="113">
        <f t="shared" si="27"/>
        <v>6.917808219178082</v>
      </c>
      <c r="AE155" s="52">
        <f t="shared" si="28"/>
        <v>0.0015764817001083335</v>
      </c>
    </row>
    <row r="156" spans="2:31" s="27" customFormat="1" ht="12.75">
      <c r="B156" s="80">
        <v>153</v>
      </c>
      <c r="C156" s="35" t="s">
        <v>259</v>
      </c>
      <c r="D156" s="3" t="s">
        <v>632</v>
      </c>
      <c r="E156" s="39" t="s">
        <v>260</v>
      </c>
      <c r="F156" s="61">
        <v>121</v>
      </c>
      <c r="G156" s="4" t="s">
        <v>22</v>
      </c>
      <c r="H156" s="3">
        <f>180/17400</f>
        <v>0.010344827586206896</v>
      </c>
      <c r="I156" s="10">
        <f>H156*204639</f>
        <v>2116.955172413793</v>
      </c>
      <c r="J156" s="11"/>
      <c r="K156" s="4"/>
      <c r="L156" s="3"/>
      <c r="M156" s="10"/>
      <c r="N156" s="89">
        <f t="shared" si="29"/>
        <v>2116.955172413793</v>
      </c>
      <c r="O156" s="90">
        <f t="shared" si="30"/>
        <v>0.4824275237940237</v>
      </c>
      <c r="P156" s="61">
        <v>136</v>
      </c>
      <c r="Q156" s="4" t="s">
        <v>202</v>
      </c>
      <c r="R156" s="3">
        <f>120/17520</f>
        <v>0.00684931506849315</v>
      </c>
      <c r="S156" s="12">
        <f>R156*550774</f>
        <v>3772.4246575342463</v>
      </c>
      <c r="T156" s="11">
        <v>124</v>
      </c>
      <c r="U156" s="4" t="s">
        <v>202</v>
      </c>
      <c r="V156" s="3">
        <f>120/17520</f>
        <v>0.00684931506849315</v>
      </c>
      <c r="W156" s="12">
        <f t="shared" si="35"/>
        <v>1.3835616438356164</v>
      </c>
      <c r="X156" s="11">
        <v>100</v>
      </c>
      <c r="Y156" s="4" t="s">
        <v>202</v>
      </c>
      <c r="Z156" s="3">
        <f>120/17520</f>
        <v>0.00684931506849315</v>
      </c>
      <c r="AA156" s="13">
        <f>Z156*356861</f>
        <v>2444.253424657534</v>
      </c>
      <c r="AB156" s="106">
        <f t="shared" si="25"/>
        <v>6218.0616438356155</v>
      </c>
      <c r="AC156" s="102">
        <f t="shared" si="26"/>
        <v>0.9999999427209982</v>
      </c>
      <c r="AD156" s="113">
        <f t="shared" si="27"/>
        <v>8335.016816249408</v>
      </c>
      <c r="AE156" s="52">
        <f t="shared" si="28"/>
        <v>1.8994457586269433</v>
      </c>
    </row>
    <row r="157" spans="2:31" s="27" customFormat="1" ht="12.75">
      <c r="B157" s="80">
        <v>154</v>
      </c>
      <c r="C157" s="35" t="s">
        <v>259</v>
      </c>
      <c r="D157" s="3" t="s">
        <v>632</v>
      </c>
      <c r="E157" s="39" t="s">
        <v>260</v>
      </c>
      <c r="F157" s="61"/>
      <c r="G157" s="4"/>
      <c r="H157" s="3"/>
      <c r="I157" s="10"/>
      <c r="J157" s="2"/>
      <c r="K157" s="6"/>
      <c r="L157" s="3"/>
      <c r="M157" s="10"/>
      <c r="N157" s="89"/>
      <c r="O157" s="90"/>
      <c r="P157" s="61">
        <v>198</v>
      </c>
      <c r="Q157" s="4" t="s">
        <v>202</v>
      </c>
      <c r="R157" s="3">
        <f>120/17520</f>
        <v>0.00684931506849315</v>
      </c>
      <c r="S157" s="12">
        <f>R157*550774</f>
        <v>3772.4246575342463</v>
      </c>
      <c r="T157" s="11">
        <v>185</v>
      </c>
      <c r="U157" s="4" t="s">
        <v>202</v>
      </c>
      <c r="V157" s="3">
        <f>120/17520</f>
        <v>0.00684931506849315</v>
      </c>
      <c r="W157" s="12">
        <f t="shared" si="35"/>
        <v>1.3835616438356164</v>
      </c>
      <c r="X157" s="11">
        <v>157</v>
      </c>
      <c r="Y157" s="4" t="s">
        <v>202</v>
      </c>
      <c r="Z157" s="3">
        <f>120/17520</f>
        <v>0.00684931506849315</v>
      </c>
      <c r="AA157" s="13">
        <f>Z157*356861</f>
        <v>2444.253424657534</v>
      </c>
      <c r="AB157" s="106">
        <f t="shared" si="25"/>
        <v>6218.0616438356155</v>
      </c>
      <c r="AC157" s="102">
        <f t="shared" si="26"/>
        <v>0.9999999427209982</v>
      </c>
      <c r="AD157" s="113">
        <f t="shared" si="27"/>
        <v>6218.0616438356155</v>
      </c>
      <c r="AE157" s="52">
        <f t="shared" si="28"/>
        <v>1.4170182348329199</v>
      </c>
    </row>
    <row r="158" spans="2:31" s="27" customFormat="1" ht="12.75">
      <c r="B158" s="80">
        <v>155</v>
      </c>
      <c r="C158" s="35" t="s">
        <v>229</v>
      </c>
      <c r="D158" s="3" t="s">
        <v>230</v>
      </c>
      <c r="E158" s="39" t="s">
        <v>231</v>
      </c>
      <c r="F158" s="61">
        <v>109</v>
      </c>
      <c r="G158" s="4" t="s">
        <v>232</v>
      </c>
      <c r="H158" s="14">
        <f>210/69600</f>
        <v>0.003017241379310345</v>
      </c>
      <c r="I158" s="10">
        <f>H158*204639</f>
        <v>617.4452586206896</v>
      </c>
      <c r="J158" s="11"/>
      <c r="K158" s="4"/>
      <c r="L158" s="3"/>
      <c r="M158" s="10"/>
      <c r="N158" s="89">
        <f t="shared" si="29"/>
        <v>617.4452586206896</v>
      </c>
      <c r="O158" s="90">
        <f t="shared" si="30"/>
        <v>0.14070802777325692</v>
      </c>
      <c r="P158" s="61">
        <v>137</v>
      </c>
      <c r="Q158" s="4" t="s">
        <v>202</v>
      </c>
      <c r="R158" s="3">
        <f>120/17520</f>
        <v>0.00684931506849315</v>
      </c>
      <c r="S158" s="12">
        <f>R158*550774</f>
        <v>3772.4246575342463</v>
      </c>
      <c r="T158" s="11">
        <v>125</v>
      </c>
      <c r="U158" s="4" t="s">
        <v>202</v>
      </c>
      <c r="V158" s="3">
        <f>120/17520</f>
        <v>0.00684931506849315</v>
      </c>
      <c r="W158" s="12">
        <f t="shared" si="35"/>
        <v>1.3835616438356164</v>
      </c>
      <c r="X158" s="11">
        <v>101</v>
      </c>
      <c r="Y158" s="4" t="s">
        <v>202</v>
      </c>
      <c r="Z158" s="3">
        <f>120/17520</f>
        <v>0.00684931506849315</v>
      </c>
      <c r="AA158" s="13">
        <f>Z158*356861</f>
        <v>2444.253424657534</v>
      </c>
      <c r="AB158" s="106">
        <f t="shared" si="25"/>
        <v>6218.0616438356155</v>
      </c>
      <c r="AC158" s="102">
        <f t="shared" si="26"/>
        <v>0.9999999427209982</v>
      </c>
      <c r="AD158" s="113">
        <f t="shared" si="27"/>
        <v>6835.506902456305</v>
      </c>
      <c r="AE158" s="52">
        <f t="shared" si="28"/>
        <v>1.5577262626061767</v>
      </c>
    </row>
    <row r="159" spans="2:31" s="27" customFormat="1" ht="12.75">
      <c r="B159" s="80">
        <v>156</v>
      </c>
      <c r="C159" s="35" t="s">
        <v>229</v>
      </c>
      <c r="D159" s="3" t="s">
        <v>230</v>
      </c>
      <c r="E159" s="39" t="s">
        <v>231</v>
      </c>
      <c r="F159" s="61"/>
      <c r="G159" s="4"/>
      <c r="H159" s="3"/>
      <c r="I159" s="10"/>
      <c r="J159" s="2"/>
      <c r="K159" s="6"/>
      <c r="L159" s="3"/>
      <c r="M159" s="10"/>
      <c r="N159" s="89"/>
      <c r="O159" s="90"/>
      <c r="P159" s="61">
        <v>187</v>
      </c>
      <c r="Q159" s="4" t="s">
        <v>455</v>
      </c>
      <c r="R159" s="3">
        <f>60/17520</f>
        <v>0.003424657534246575</v>
      </c>
      <c r="S159" s="12">
        <f>R159*550774</f>
        <v>1886.2123287671232</v>
      </c>
      <c r="T159" s="11">
        <v>174</v>
      </c>
      <c r="U159" s="4" t="s">
        <v>455</v>
      </c>
      <c r="V159" s="3">
        <f>60/17520</f>
        <v>0.003424657534246575</v>
      </c>
      <c r="W159" s="12">
        <f t="shared" si="35"/>
        <v>0.6917808219178082</v>
      </c>
      <c r="X159" s="11">
        <v>146</v>
      </c>
      <c r="Y159" s="4" t="s">
        <v>455</v>
      </c>
      <c r="Z159" s="3">
        <f>60/17520</f>
        <v>0.003424657534246575</v>
      </c>
      <c r="AA159" s="13">
        <f>Z159*356861</f>
        <v>1222.126712328767</v>
      </c>
      <c r="AB159" s="106">
        <f t="shared" si="25"/>
        <v>3109.0308219178078</v>
      </c>
      <c r="AC159" s="102">
        <f t="shared" si="26"/>
        <v>0.4999999713604991</v>
      </c>
      <c r="AD159" s="113">
        <f t="shared" si="27"/>
        <v>3109.0308219178078</v>
      </c>
      <c r="AE159" s="52">
        <f t="shared" si="28"/>
        <v>0.7085091174164599</v>
      </c>
    </row>
    <row r="160" spans="2:31" s="27" customFormat="1" ht="12.75">
      <c r="B160" s="80">
        <v>157</v>
      </c>
      <c r="C160" s="35" t="s">
        <v>333</v>
      </c>
      <c r="D160" s="3" t="s">
        <v>152</v>
      </c>
      <c r="E160" s="39" t="s">
        <v>153</v>
      </c>
      <c r="F160" s="61">
        <v>69</v>
      </c>
      <c r="G160" s="4" t="s">
        <v>102</v>
      </c>
      <c r="H160" s="14">
        <f>30/17400</f>
        <v>0.0017241379310344827</v>
      </c>
      <c r="I160" s="10">
        <f>H160*204639</f>
        <v>352.82586206896553</v>
      </c>
      <c r="J160" s="11">
        <v>71</v>
      </c>
      <c r="K160" s="4" t="s">
        <v>102</v>
      </c>
      <c r="L160" s="3">
        <f>30/17400</f>
        <v>0.0017241379310344827</v>
      </c>
      <c r="M160" s="10">
        <f>L160*1067919</f>
        <v>1841.2396551724137</v>
      </c>
      <c r="N160" s="89">
        <f t="shared" si="29"/>
        <v>2194.065517241379</v>
      </c>
      <c r="O160" s="90">
        <f t="shared" si="30"/>
        <v>0.5000000039290939</v>
      </c>
      <c r="P160" s="61">
        <v>142</v>
      </c>
      <c r="Q160" s="4" t="s">
        <v>202</v>
      </c>
      <c r="R160" s="3">
        <f>120/17520</f>
        <v>0.00684931506849315</v>
      </c>
      <c r="S160" s="12">
        <f>R160*550774</f>
        <v>3772.4246575342463</v>
      </c>
      <c r="T160" s="11">
        <v>130</v>
      </c>
      <c r="U160" s="4" t="s">
        <v>202</v>
      </c>
      <c r="V160" s="3">
        <f>120/17520</f>
        <v>0.00684931506849315</v>
      </c>
      <c r="W160" s="12">
        <f t="shared" si="35"/>
        <v>1.3835616438356164</v>
      </c>
      <c r="X160" s="11">
        <v>105</v>
      </c>
      <c r="Y160" s="4" t="s">
        <v>202</v>
      </c>
      <c r="Z160" s="3">
        <f>120/17520</f>
        <v>0.00684931506849315</v>
      </c>
      <c r="AA160" s="13">
        <f>Z160*356861</f>
        <v>2444.253424657534</v>
      </c>
      <c r="AB160" s="106">
        <f t="shared" si="25"/>
        <v>6218.0616438356155</v>
      </c>
      <c r="AC160" s="102">
        <f t="shared" si="26"/>
        <v>0.9999999427209982</v>
      </c>
      <c r="AD160" s="113">
        <f t="shared" si="27"/>
        <v>8412.127161076995</v>
      </c>
      <c r="AE160" s="52">
        <f t="shared" si="28"/>
        <v>1.9170182387620136</v>
      </c>
    </row>
    <row r="161" spans="2:31" s="74" customFormat="1" ht="25.5">
      <c r="B161" s="81">
        <v>158</v>
      </c>
      <c r="C161" s="77" t="s">
        <v>209</v>
      </c>
      <c r="D161" s="82" t="s">
        <v>601</v>
      </c>
      <c r="E161" s="65" t="s">
        <v>210</v>
      </c>
      <c r="F161" s="66">
        <v>102</v>
      </c>
      <c r="G161" s="72" t="s">
        <v>208</v>
      </c>
      <c r="H161" s="68">
        <f>27/13920</f>
        <v>0.001939655172413793</v>
      </c>
      <c r="I161" s="69">
        <f>H161*204639</f>
        <v>396.9290948275862</v>
      </c>
      <c r="J161" s="70">
        <v>2</v>
      </c>
      <c r="K161" s="72" t="s">
        <v>290</v>
      </c>
      <c r="L161" s="68">
        <f>270/139200</f>
        <v>0.001939655172413793</v>
      </c>
      <c r="M161" s="69">
        <f>L161*1067919</f>
        <v>2071.3946120689657</v>
      </c>
      <c r="N161" s="89">
        <f t="shared" si="29"/>
        <v>2468.323706896552</v>
      </c>
      <c r="O161" s="90">
        <f t="shared" si="30"/>
        <v>0.5625000044202307</v>
      </c>
      <c r="P161" s="66"/>
      <c r="Q161" s="72"/>
      <c r="R161" s="68"/>
      <c r="S161" s="71"/>
      <c r="T161" s="70"/>
      <c r="U161" s="72"/>
      <c r="V161" s="68"/>
      <c r="W161" s="71"/>
      <c r="X161" s="70"/>
      <c r="Y161" s="72"/>
      <c r="Z161" s="64"/>
      <c r="AA161" s="73"/>
      <c r="AB161" s="106"/>
      <c r="AC161" s="102"/>
      <c r="AD161" s="114">
        <f t="shared" si="27"/>
        <v>2468.323706896552</v>
      </c>
      <c r="AE161" s="110">
        <f t="shared" si="28"/>
        <v>0.5625000044202307</v>
      </c>
    </row>
    <row r="162" spans="2:31" s="27" customFormat="1" ht="12.75">
      <c r="B162" s="80">
        <v>159</v>
      </c>
      <c r="C162" s="35" t="s">
        <v>477</v>
      </c>
      <c r="D162" s="3" t="s">
        <v>142</v>
      </c>
      <c r="E162" s="39" t="s">
        <v>478</v>
      </c>
      <c r="F162" s="61"/>
      <c r="G162" s="4"/>
      <c r="H162" s="3"/>
      <c r="I162" s="10"/>
      <c r="J162" s="2"/>
      <c r="K162" s="6"/>
      <c r="L162" s="3"/>
      <c r="M162" s="10"/>
      <c r="N162" s="89"/>
      <c r="O162" s="90"/>
      <c r="P162" s="61">
        <v>176</v>
      </c>
      <c r="Q162" s="4" t="s">
        <v>452</v>
      </c>
      <c r="R162" s="3">
        <f>180/17520</f>
        <v>0.010273972602739725</v>
      </c>
      <c r="S162" s="12">
        <f>R162*550774</f>
        <v>5658.63698630137</v>
      </c>
      <c r="T162" s="11">
        <v>163</v>
      </c>
      <c r="U162" s="4" t="s">
        <v>452</v>
      </c>
      <c r="V162" s="3">
        <f>180/17520</f>
        <v>0.010273972602739725</v>
      </c>
      <c r="W162" s="12">
        <f>V162*202</f>
        <v>2.0753424657534247</v>
      </c>
      <c r="X162" s="11">
        <v>137</v>
      </c>
      <c r="Y162" s="4" t="s">
        <v>452</v>
      </c>
      <c r="Z162" s="3">
        <f>180/17520</f>
        <v>0.010273972602739725</v>
      </c>
      <c r="AA162" s="13">
        <f>Z162*356861</f>
        <v>3666.3801369863013</v>
      </c>
      <c r="AB162" s="106">
        <f t="shared" si="25"/>
        <v>9327.092465753423</v>
      </c>
      <c r="AC162" s="102">
        <f t="shared" si="26"/>
        <v>1.4999999140814972</v>
      </c>
      <c r="AD162" s="113">
        <f t="shared" si="27"/>
        <v>9327.092465753423</v>
      </c>
      <c r="AE162" s="52">
        <f t="shared" si="28"/>
        <v>2.12552735224938</v>
      </c>
    </row>
    <row r="163" spans="2:31" s="27" customFormat="1" ht="12.75">
      <c r="B163" s="80">
        <v>160</v>
      </c>
      <c r="C163" s="35" t="s">
        <v>585</v>
      </c>
      <c r="D163" s="3" t="s">
        <v>142</v>
      </c>
      <c r="E163" s="39" t="s">
        <v>143</v>
      </c>
      <c r="F163" s="61">
        <v>64</v>
      </c>
      <c r="G163" s="4" t="s">
        <v>52</v>
      </c>
      <c r="H163" s="14">
        <f>270/17400</f>
        <v>0.015517241379310345</v>
      </c>
      <c r="I163" s="10">
        <f>H163*204639</f>
        <v>3175.4327586206896</v>
      </c>
      <c r="J163" s="11">
        <v>70</v>
      </c>
      <c r="K163" s="4" t="s">
        <v>52</v>
      </c>
      <c r="L163" s="3">
        <f>270/17400</f>
        <v>0.015517241379310345</v>
      </c>
      <c r="M163" s="10">
        <f>L163*1067919</f>
        <v>16571.156896551725</v>
      </c>
      <c r="N163" s="89">
        <f t="shared" si="29"/>
        <v>19746.589655172414</v>
      </c>
      <c r="O163" s="90">
        <f t="shared" si="30"/>
        <v>4.500000035361846</v>
      </c>
      <c r="P163" s="61"/>
      <c r="Q163" s="4"/>
      <c r="R163" s="3"/>
      <c r="S163" s="12"/>
      <c r="T163" s="11"/>
      <c r="U163" s="4"/>
      <c r="V163" s="14"/>
      <c r="W163" s="12"/>
      <c r="X163" s="11"/>
      <c r="Y163" s="4"/>
      <c r="Z163" s="3"/>
      <c r="AA163" s="13"/>
      <c r="AB163" s="106"/>
      <c r="AC163" s="102"/>
      <c r="AD163" s="113">
        <f t="shared" si="27"/>
        <v>19746.589655172414</v>
      </c>
      <c r="AE163" s="52">
        <f t="shared" si="28"/>
        <v>4.500000035361846</v>
      </c>
    </row>
    <row r="164" spans="2:31" s="27" customFormat="1" ht="12.75">
      <c r="B164" s="80">
        <v>161</v>
      </c>
      <c r="C164" s="35" t="s">
        <v>144</v>
      </c>
      <c r="D164" s="3" t="s">
        <v>145</v>
      </c>
      <c r="E164" s="39" t="s">
        <v>146</v>
      </c>
      <c r="F164" s="61">
        <v>65</v>
      </c>
      <c r="G164" s="4" t="s">
        <v>66</v>
      </c>
      <c r="H164" s="14">
        <f>60/17400</f>
        <v>0.0034482758620689655</v>
      </c>
      <c r="I164" s="10">
        <f>H164*204639</f>
        <v>705.6517241379311</v>
      </c>
      <c r="J164" s="11">
        <v>72</v>
      </c>
      <c r="K164" s="4" t="s">
        <v>66</v>
      </c>
      <c r="L164" s="3">
        <f>60/17400</f>
        <v>0.0034482758620689655</v>
      </c>
      <c r="M164" s="10">
        <f>L164*1067919</f>
        <v>3682.4793103448274</v>
      </c>
      <c r="N164" s="89">
        <f t="shared" si="29"/>
        <v>4388.131034482758</v>
      </c>
      <c r="O164" s="90">
        <f t="shared" si="30"/>
        <v>1.0000000078581879</v>
      </c>
      <c r="P164" s="61">
        <v>31</v>
      </c>
      <c r="Q164" s="4" t="s">
        <v>357</v>
      </c>
      <c r="R164" s="3">
        <f>8/584</f>
        <v>0.0136986301369863</v>
      </c>
      <c r="S164" s="12">
        <f>R164*550774</f>
        <v>7544.849315068493</v>
      </c>
      <c r="T164" s="11">
        <v>24</v>
      </c>
      <c r="U164" s="4" t="s">
        <v>357</v>
      </c>
      <c r="V164" s="14">
        <f>8/584</f>
        <v>0.0136986301369863</v>
      </c>
      <c r="W164" s="12">
        <f>V164*202</f>
        <v>2.767123287671233</v>
      </c>
      <c r="X164" s="11">
        <v>11</v>
      </c>
      <c r="Y164" s="4" t="s">
        <v>357</v>
      </c>
      <c r="Z164" s="3">
        <f>8/584</f>
        <v>0.0136986301369863</v>
      </c>
      <c r="AA164" s="13">
        <f>Z164*356861</f>
        <v>4888.506849315068</v>
      </c>
      <c r="AB164" s="106">
        <f t="shared" si="25"/>
        <v>12436.123287671231</v>
      </c>
      <c r="AC164" s="102">
        <f t="shared" si="26"/>
        <v>1.9999998854419965</v>
      </c>
      <c r="AD164" s="113">
        <f t="shared" si="27"/>
        <v>16824.25432215399</v>
      </c>
      <c r="AE164" s="52">
        <f t="shared" si="28"/>
        <v>3.834036477524027</v>
      </c>
    </row>
    <row r="165" spans="2:31" s="27" customFormat="1" ht="12.75">
      <c r="B165" s="80">
        <v>162</v>
      </c>
      <c r="C165" s="35" t="s">
        <v>144</v>
      </c>
      <c r="D165" s="3" t="s">
        <v>145</v>
      </c>
      <c r="E165" s="39" t="s">
        <v>146</v>
      </c>
      <c r="F165" s="61"/>
      <c r="G165" s="4"/>
      <c r="H165" s="3"/>
      <c r="I165" s="10"/>
      <c r="J165" s="2"/>
      <c r="K165" s="6"/>
      <c r="L165" s="3"/>
      <c r="M165" s="10"/>
      <c r="N165" s="89"/>
      <c r="O165" s="90"/>
      <c r="P165" s="61">
        <v>139</v>
      </c>
      <c r="Q165" s="4" t="s">
        <v>202</v>
      </c>
      <c r="R165" s="3">
        <f>120/17520</f>
        <v>0.00684931506849315</v>
      </c>
      <c r="S165" s="12">
        <f>R165*550774</f>
        <v>3772.4246575342463</v>
      </c>
      <c r="T165" s="11">
        <v>127</v>
      </c>
      <c r="U165" s="4" t="s">
        <v>202</v>
      </c>
      <c r="V165" s="3">
        <f>120/17520</f>
        <v>0.00684931506849315</v>
      </c>
      <c r="W165" s="12">
        <f>V165*202</f>
        <v>1.3835616438356164</v>
      </c>
      <c r="X165" s="11">
        <v>102</v>
      </c>
      <c r="Y165" s="4" t="s">
        <v>202</v>
      </c>
      <c r="Z165" s="3">
        <f>120/17520</f>
        <v>0.00684931506849315</v>
      </c>
      <c r="AA165" s="13">
        <f>Z165*356861</f>
        <v>2444.253424657534</v>
      </c>
      <c r="AB165" s="106">
        <f t="shared" si="25"/>
        <v>6218.0616438356155</v>
      </c>
      <c r="AC165" s="102">
        <f t="shared" si="26"/>
        <v>0.9999999427209982</v>
      </c>
      <c r="AD165" s="113">
        <f t="shared" si="27"/>
        <v>6218.0616438356155</v>
      </c>
      <c r="AE165" s="52">
        <f t="shared" si="28"/>
        <v>1.4170182348329199</v>
      </c>
    </row>
    <row r="166" spans="2:31" s="27" customFormat="1" ht="12.75">
      <c r="B166" s="80">
        <v>163</v>
      </c>
      <c r="C166" s="35" t="s">
        <v>586</v>
      </c>
      <c r="D166" s="3" t="s">
        <v>147</v>
      </c>
      <c r="E166" s="39" t="s">
        <v>148</v>
      </c>
      <c r="F166" s="61">
        <v>66</v>
      </c>
      <c r="G166" s="4" t="s">
        <v>22</v>
      </c>
      <c r="H166" s="3">
        <f>180/17400</f>
        <v>0.010344827586206896</v>
      </c>
      <c r="I166" s="10">
        <f>H166*204639</f>
        <v>2116.955172413793</v>
      </c>
      <c r="J166" s="11">
        <v>73</v>
      </c>
      <c r="K166" s="4" t="s">
        <v>22</v>
      </c>
      <c r="L166" s="3">
        <f>180/17400</f>
        <v>0.010344827586206896</v>
      </c>
      <c r="M166" s="10">
        <f>L166*1067919</f>
        <v>11047.437931034483</v>
      </c>
      <c r="N166" s="89">
        <f t="shared" si="29"/>
        <v>13164.393103448276</v>
      </c>
      <c r="O166" s="90">
        <f t="shared" si="30"/>
        <v>3.000000023574564</v>
      </c>
      <c r="P166" s="61"/>
      <c r="Q166" s="4"/>
      <c r="R166" s="3"/>
      <c r="S166" s="12"/>
      <c r="T166" s="11"/>
      <c r="U166" s="4"/>
      <c r="V166" s="3"/>
      <c r="W166" s="12"/>
      <c r="X166" s="11"/>
      <c r="Y166" s="4"/>
      <c r="Z166" s="3"/>
      <c r="AA166" s="13"/>
      <c r="AB166" s="106"/>
      <c r="AC166" s="102"/>
      <c r="AD166" s="113">
        <f t="shared" si="27"/>
        <v>13164.393103448276</v>
      </c>
      <c r="AE166" s="52">
        <f t="shared" si="28"/>
        <v>3.000000023574564</v>
      </c>
    </row>
    <row r="167" spans="2:31" s="27" customFormat="1" ht="12.75">
      <c r="B167" s="80">
        <v>164</v>
      </c>
      <c r="C167" s="35" t="s">
        <v>587</v>
      </c>
      <c r="D167" s="3" t="s">
        <v>149</v>
      </c>
      <c r="E167" s="39" t="s">
        <v>150</v>
      </c>
      <c r="F167" s="61">
        <v>67</v>
      </c>
      <c r="G167" s="4" t="s">
        <v>52</v>
      </c>
      <c r="H167" s="14">
        <f>270/17400</f>
        <v>0.015517241379310345</v>
      </c>
      <c r="I167" s="10">
        <f>H167*204639</f>
        <v>3175.4327586206896</v>
      </c>
      <c r="J167" s="11">
        <v>75</v>
      </c>
      <c r="K167" s="4" t="s">
        <v>19</v>
      </c>
      <c r="L167" s="3">
        <f>90/17400</f>
        <v>0.005172413793103448</v>
      </c>
      <c r="M167" s="10">
        <f>L167*1067919</f>
        <v>5523.7189655172415</v>
      </c>
      <c r="N167" s="89">
        <f t="shared" si="29"/>
        <v>8699.151724137932</v>
      </c>
      <c r="O167" s="90">
        <f t="shared" si="30"/>
        <v>1.9824275355813057</v>
      </c>
      <c r="P167" s="61">
        <v>140</v>
      </c>
      <c r="Q167" s="4" t="s">
        <v>202</v>
      </c>
      <c r="R167" s="3">
        <f>120/17520</f>
        <v>0.00684931506849315</v>
      </c>
      <c r="S167" s="12">
        <f aca="true" t="shared" si="36" ref="S167:S173">R167*550774</f>
        <v>3772.4246575342463</v>
      </c>
      <c r="T167" s="11">
        <v>128</v>
      </c>
      <c r="U167" s="4" t="s">
        <v>530</v>
      </c>
      <c r="V167" s="3">
        <f>300/17520</f>
        <v>0.017123287671232876</v>
      </c>
      <c r="W167" s="12">
        <f>V167*202</f>
        <v>3.458904109589041</v>
      </c>
      <c r="X167" s="11">
        <v>103</v>
      </c>
      <c r="Y167" s="4" t="s">
        <v>202</v>
      </c>
      <c r="Z167" s="3">
        <f>120/17520</f>
        <v>0.00684931506849315</v>
      </c>
      <c r="AA167" s="13">
        <f aca="true" t="shared" si="37" ref="AA167:AA177">Z167*356861</f>
        <v>2444.253424657534</v>
      </c>
      <c r="AB167" s="106">
        <f t="shared" si="25"/>
        <v>6220.13698630137</v>
      </c>
      <c r="AC167" s="102">
        <f t="shared" si="26"/>
        <v>1.0003337030575394</v>
      </c>
      <c r="AD167" s="113">
        <f t="shared" si="27"/>
        <v>14919.288710439301</v>
      </c>
      <c r="AE167" s="52">
        <f t="shared" si="28"/>
        <v>3.399918714924258</v>
      </c>
    </row>
    <row r="168" spans="2:31" s="27" customFormat="1" ht="12.75">
      <c r="B168" s="80">
        <v>165</v>
      </c>
      <c r="C168" s="35" t="s">
        <v>587</v>
      </c>
      <c r="D168" s="3" t="s">
        <v>149</v>
      </c>
      <c r="E168" s="39" t="s">
        <v>334</v>
      </c>
      <c r="F168" s="61"/>
      <c r="G168" s="4"/>
      <c r="H168" s="14"/>
      <c r="I168" s="10"/>
      <c r="J168" s="11">
        <v>74</v>
      </c>
      <c r="K168" s="4" t="s">
        <v>52</v>
      </c>
      <c r="L168" s="3">
        <f>270/17400</f>
        <v>0.015517241379310345</v>
      </c>
      <c r="M168" s="10">
        <f>L168*1067919</f>
        <v>16571.156896551725</v>
      </c>
      <c r="N168" s="89">
        <f t="shared" si="29"/>
        <v>16571.156896551725</v>
      </c>
      <c r="O168" s="90">
        <f t="shared" si="30"/>
        <v>3.776358749670811</v>
      </c>
      <c r="P168" s="61">
        <v>38</v>
      </c>
      <c r="Q168" s="4" t="s">
        <v>357</v>
      </c>
      <c r="R168" s="3">
        <f>8/584</f>
        <v>0.0136986301369863</v>
      </c>
      <c r="S168" s="12">
        <f t="shared" si="36"/>
        <v>7544.849315068493</v>
      </c>
      <c r="T168" s="11"/>
      <c r="U168" s="4"/>
      <c r="V168" s="3"/>
      <c r="W168" s="12"/>
      <c r="X168" s="11">
        <v>15</v>
      </c>
      <c r="Y168" s="4" t="s">
        <v>357</v>
      </c>
      <c r="Z168" s="3">
        <f>8/584</f>
        <v>0.0136986301369863</v>
      </c>
      <c r="AA168" s="13">
        <f t="shared" si="37"/>
        <v>4888.506849315068</v>
      </c>
      <c r="AB168" s="106">
        <f t="shared" si="25"/>
        <v>12433.35616438356</v>
      </c>
      <c r="AC168" s="102">
        <f t="shared" si="26"/>
        <v>1.9995548716599416</v>
      </c>
      <c r="AD168" s="113">
        <f t="shared" si="27"/>
        <v>29004.513060935285</v>
      </c>
      <c r="AE168" s="52">
        <f t="shared" si="28"/>
        <v>6.609764626656607</v>
      </c>
    </row>
    <row r="169" spans="2:31" s="27" customFormat="1" ht="12.75">
      <c r="B169" s="80">
        <v>166</v>
      </c>
      <c r="C169" s="35" t="s">
        <v>335</v>
      </c>
      <c r="D169" s="3" t="s">
        <v>149</v>
      </c>
      <c r="E169" s="39" t="s">
        <v>151</v>
      </c>
      <c r="F169" s="61">
        <v>68</v>
      </c>
      <c r="G169" s="4" t="s">
        <v>34</v>
      </c>
      <c r="H169" s="3">
        <f>120/17400</f>
        <v>0.006896551724137931</v>
      </c>
      <c r="I169" s="10">
        <f>H169*204639</f>
        <v>1411.3034482758621</v>
      </c>
      <c r="J169" s="11">
        <v>76</v>
      </c>
      <c r="K169" s="4" t="s">
        <v>336</v>
      </c>
      <c r="L169" s="3">
        <f>115/17400</f>
        <v>0.0066091954022988505</v>
      </c>
      <c r="M169" s="10">
        <f>L169*1067919</f>
        <v>7058.085344827586</v>
      </c>
      <c r="N169" s="89">
        <f t="shared" si="29"/>
        <v>8469.388793103448</v>
      </c>
      <c r="O169" s="90">
        <f t="shared" si="30"/>
        <v>1.9300674462780276</v>
      </c>
      <c r="P169" s="61">
        <v>141</v>
      </c>
      <c r="Q169" s="4" t="s">
        <v>452</v>
      </c>
      <c r="R169" s="3">
        <f>180/17520</f>
        <v>0.010273972602739725</v>
      </c>
      <c r="S169" s="12">
        <f t="shared" si="36"/>
        <v>5658.63698630137</v>
      </c>
      <c r="T169" s="11">
        <v>129</v>
      </c>
      <c r="U169" s="4" t="s">
        <v>452</v>
      </c>
      <c r="V169" s="3">
        <f>180/17520</f>
        <v>0.010273972602739725</v>
      </c>
      <c r="W169" s="12">
        <f>V169*202</f>
        <v>2.0753424657534247</v>
      </c>
      <c r="X169" s="11">
        <v>104</v>
      </c>
      <c r="Y169" s="4" t="s">
        <v>452</v>
      </c>
      <c r="Z169" s="3">
        <f>180/17520</f>
        <v>0.010273972602739725</v>
      </c>
      <c r="AA169" s="13">
        <f t="shared" si="37"/>
        <v>3666.3801369863013</v>
      </c>
      <c r="AB169" s="106">
        <f t="shared" si="25"/>
        <v>9327.092465753423</v>
      </c>
      <c r="AC169" s="102">
        <f t="shared" si="26"/>
        <v>1.4999999140814972</v>
      </c>
      <c r="AD169" s="113">
        <f t="shared" si="27"/>
        <v>17796.481258856875</v>
      </c>
      <c r="AE169" s="52">
        <f t="shared" si="28"/>
        <v>4.055594798527408</v>
      </c>
    </row>
    <row r="170" spans="2:31" s="27" customFormat="1" ht="12.75">
      <c r="B170" s="80">
        <v>167</v>
      </c>
      <c r="C170" s="35" t="s">
        <v>236</v>
      </c>
      <c r="D170" s="3" t="s">
        <v>237</v>
      </c>
      <c r="E170" s="39" t="s">
        <v>238</v>
      </c>
      <c r="F170" s="61">
        <v>112</v>
      </c>
      <c r="G170" s="4" t="s">
        <v>232</v>
      </c>
      <c r="H170" s="14">
        <f>210/69600</f>
        <v>0.003017241379310345</v>
      </c>
      <c r="I170" s="10">
        <f>H170*204639</f>
        <v>617.4452586206896</v>
      </c>
      <c r="J170" s="11"/>
      <c r="K170" s="4"/>
      <c r="L170" s="3"/>
      <c r="M170" s="10"/>
      <c r="N170" s="89">
        <f t="shared" si="29"/>
        <v>617.4452586206896</v>
      </c>
      <c r="O170" s="90">
        <f t="shared" si="30"/>
        <v>0.14070802777325692</v>
      </c>
      <c r="P170" s="61">
        <v>190</v>
      </c>
      <c r="Q170" s="4" t="s">
        <v>455</v>
      </c>
      <c r="R170" s="3">
        <f>60/17520</f>
        <v>0.003424657534246575</v>
      </c>
      <c r="S170" s="12">
        <f t="shared" si="36"/>
        <v>1886.2123287671232</v>
      </c>
      <c r="T170" s="11">
        <v>177</v>
      </c>
      <c r="U170" s="4" t="s">
        <v>455</v>
      </c>
      <c r="V170" s="3">
        <f>60/17520</f>
        <v>0.003424657534246575</v>
      </c>
      <c r="W170" s="12">
        <f>V170*202</f>
        <v>0.6917808219178082</v>
      </c>
      <c r="X170" s="11">
        <v>149</v>
      </c>
      <c r="Y170" s="4" t="s">
        <v>455</v>
      </c>
      <c r="Z170" s="3">
        <f>60/17520</f>
        <v>0.003424657534246575</v>
      </c>
      <c r="AA170" s="13">
        <f t="shared" si="37"/>
        <v>1222.126712328767</v>
      </c>
      <c r="AB170" s="106">
        <f t="shared" si="25"/>
        <v>3109.0308219178078</v>
      </c>
      <c r="AC170" s="102">
        <f t="shared" si="26"/>
        <v>0.4999999713604991</v>
      </c>
      <c r="AD170" s="113">
        <f t="shared" si="27"/>
        <v>3726.4760805384976</v>
      </c>
      <c r="AE170" s="52">
        <f t="shared" si="28"/>
        <v>0.8492171451897168</v>
      </c>
    </row>
    <row r="171" spans="2:31" s="27" customFormat="1" ht="12.75">
      <c r="B171" s="80">
        <v>168</v>
      </c>
      <c r="C171" s="35" t="s">
        <v>471</v>
      </c>
      <c r="D171" s="3" t="s">
        <v>244</v>
      </c>
      <c r="E171" s="39" t="s">
        <v>472</v>
      </c>
      <c r="F171" s="61"/>
      <c r="G171" s="4"/>
      <c r="H171" s="3"/>
      <c r="I171" s="10"/>
      <c r="J171" s="2"/>
      <c r="K171" s="6"/>
      <c r="L171" s="3"/>
      <c r="M171" s="10"/>
      <c r="N171" s="89"/>
      <c r="O171" s="90"/>
      <c r="P171" s="61">
        <v>169</v>
      </c>
      <c r="Q171" s="4" t="s">
        <v>362</v>
      </c>
      <c r="R171" s="3">
        <f>2/584</f>
        <v>0.003424657534246575</v>
      </c>
      <c r="S171" s="12">
        <f t="shared" si="36"/>
        <v>1886.2123287671232</v>
      </c>
      <c r="T171" s="11">
        <v>156</v>
      </c>
      <c r="U171" s="4" t="s">
        <v>362</v>
      </c>
      <c r="V171" s="3">
        <f>2/584</f>
        <v>0.003424657534246575</v>
      </c>
      <c r="W171" s="12">
        <f>V171*202</f>
        <v>0.6917808219178082</v>
      </c>
      <c r="X171" s="11">
        <v>130</v>
      </c>
      <c r="Y171" s="4" t="s">
        <v>362</v>
      </c>
      <c r="Z171" s="3">
        <f>2/584</f>
        <v>0.003424657534246575</v>
      </c>
      <c r="AA171" s="13">
        <f t="shared" si="37"/>
        <v>1222.126712328767</v>
      </c>
      <c r="AB171" s="106">
        <f t="shared" si="25"/>
        <v>3109.0308219178078</v>
      </c>
      <c r="AC171" s="102">
        <f t="shared" si="26"/>
        <v>0.4999999713604991</v>
      </c>
      <c r="AD171" s="113">
        <f t="shared" si="27"/>
        <v>3109.0308219178078</v>
      </c>
      <c r="AE171" s="52">
        <f t="shared" si="28"/>
        <v>0.7085091174164599</v>
      </c>
    </row>
    <row r="172" spans="2:31" s="27" customFormat="1" ht="12.75">
      <c r="B172" s="80">
        <v>169</v>
      </c>
      <c r="C172" s="35" t="s">
        <v>490</v>
      </c>
      <c r="D172" s="3" t="s">
        <v>491</v>
      </c>
      <c r="E172" s="39" t="s">
        <v>492</v>
      </c>
      <c r="F172" s="61"/>
      <c r="G172" s="4"/>
      <c r="H172" s="3"/>
      <c r="I172" s="10"/>
      <c r="J172" s="2"/>
      <c r="K172" s="6"/>
      <c r="L172" s="3"/>
      <c r="M172" s="10"/>
      <c r="N172" s="89"/>
      <c r="O172" s="90"/>
      <c r="P172" s="61">
        <v>191</v>
      </c>
      <c r="Q172" s="4" t="s">
        <v>356</v>
      </c>
      <c r="R172" s="3">
        <f>4/584</f>
        <v>0.00684931506849315</v>
      </c>
      <c r="S172" s="12">
        <f t="shared" si="36"/>
        <v>3772.4246575342463</v>
      </c>
      <c r="T172" s="11">
        <v>178</v>
      </c>
      <c r="U172" s="4" t="s">
        <v>356</v>
      </c>
      <c r="V172" s="3">
        <f>4/584</f>
        <v>0.00684931506849315</v>
      </c>
      <c r="W172" s="12">
        <f>V172*202</f>
        <v>1.3835616438356164</v>
      </c>
      <c r="X172" s="11">
        <v>150</v>
      </c>
      <c r="Y172" s="4" t="s">
        <v>356</v>
      </c>
      <c r="Z172" s="3">
        <f>4/584</f>
        <v>0.00684931506849315</v>
      </c>
      <c r="AA172" s="13">
        <f t="shared" si="37"/>
        <v>2444.253424657534</v>
      </c>
      <c r="AB172" s="106">
        <f t="shared" si="25"/>
        <v>6218.0616438356155</v>
      </c>
      <c r="AC172" s="102">
        <f t="shared" si="26"/>
        <v>0.9999999427209982</v>
      </c>
      <c r="AD172" s="113">
        <f t="shared" si="27"/>
        <v>6218.0616438356155</v>
      </c>
      <c r="AE172" s="52">
        <f t="shared" si="28"/>
        <v>1.4170182348329199</v>
      </c>
    </row>
    <row r="173" spans="2:31" s="27" customFormat="1" ht="12.75">
      <c r="B173" s="80">
        <v>170</v>
      </c>
      <c r="C173" s="35" t="s">
        <v>337</v>
      </c>
      <c r="D173" s="3" t="s">
        <v>154</v>
      </c>
      <c r="E173" s="39" t="s">
        <v>411</v>
      </c>
      <c r="F173" s="61">
        <v>70</v>
      </c>
      <c r="G173" s="4" t="s">
        <v>58</v>
      </c>
      <c r="H173" s="14">
        <f>45/17400</f>
        <v>0.002586206896551724</v>
      </c>
      <c r="I173" s="10">
        <f>H173*204639</f>
        <v>529.2387931034483</v>
      </c>
      <c r="J173" s="11">
        <v>77</v>
      </c>
      <c r="K173" s="4" t="s">
        <v>58</v>
      </c>
      <c r="L173" s="3">
        <f>45/17400</f>
        <v>0.002586206896551724</v>
      </c>
      <c r="M173" s="10">
        <f>L173*1067919</f>
        <v>2761.8594827586207</v>
      </c>
      <c r="N173" s="89">
        <f t="shared" si="29"/>
        <v>3291.098275862069</v>
      </c>
      <c r="O173" s="90">
        <f t="shared" si="30"/>
        <v>0.750000005893641</v>
      </c>
      <c r="P173" s="61">
        <v>79</v>
      </c>
      <c r="Q173" s="4" t="s">
        <v>407</v>
      </c>
      <c r="R173" s="3">
        <f>2/1752</f>
        <v>0.001141552511415525</v>
      </c>
      <c r="S173" s="12">
        <f t="shared" si="36"/>
        <v>628.7374429223744</v>
      </c>
      <c r="T173" s="11">
        <v>70</v>
      </c>
      <c r="U173" s="4" t="s">
        <v>407</v>
      </c>
      <c r="V173" s="3">
        <f>2/1752</f>
        <v>0.001141552511415525</v>
      </c>
      <c r="W173" s="12">
        <f>V173*202</f>
        <v>0.23059360730593606</v>
      </c>
      <c r="X173" s="11">
        <v>53</v>
      </c>
      <c r="Y173" s="4" t="s">
        <v>407</v>
      </c>
      <c r="Z173" s="3">
        <f>2/1752</f>
        <v>0.001141552511415525</v>
      </c>
      <c r="AA173" s="13">
        <f t="shared" si="37"/>
        <v>407.3755707762557</v>
      </c>
      <c r="AB173" s="106">
        <f t="shared" si="25"/>
        <v>1036.343607305936</v>
      </c>
      <c r="AC173" s="102">
        <f t="shared" si="26"/>
        <v>0.1666666571201664</v>
      </c>
      <c r="AD173" s="113">
        <f t="shared" si="27"/>
        <v>4327.441883168005</v>
      </c>
      <c r="AE173" s="52">
        <f t="shared" si="28"/>
        <v>0.9861697116991276</v>
      </c>
    </row>
    <row r="174" spans="2:31" s="27" customFormat="1" ht="12.75">
      <c r="B174" s="80">
        <v>171</v>
      </c>
      <c r="C174" s="35" t="s">
        <v>211</v>
      </c>
      <c r="D174" s="3" t="s">
        <v>212</v>
      </c>
      <c r="E174" s="39" t="s">
        <v>213</v>
      </c>
      <c r="F174" s="61">
        <v>103</v>
      </c>
      <c r="G174" s="4" t="s">
        <v>214</v>
      </c>
      <c r="H174" s="14">
        <f>18/13920</f>
        <v>0.001293103448275862</v>
      </c>
      <c r="I174" s="10">
        <f>H174*204639</f>
        <v>264.61939655172415</v>
      </c>
      <c r="J174" s="11">
        <v>3</v>
      </c>
      <c r="K174" s="4" t="s">
        <v>291</v>
      </c>
      <c r="L174" s="3">
        <f>180/139200</f>
        <v>0.001293103448275862</v>
      </c>
      <c r="M174" s="10">
        <f>L174*1067919</f>
        <v>1380.9297413793104</v>
      </c>
      <c r="N174" s="89">
        <f t="shared" si="29"/>
        <v>1645.5491379310345</v>
      </c>
      <c r="O174" s="90">
        <f t="shared" si="30"/>
        <v>0.3750000029468205</v>
      </c>
      <c r="P174" s="61"/>
      <c r="Q174" s="4"/>
      <c r="R174" s="3"/>
      <c r="S174" s="12"/>
      <c r="T174" s="11"/>
      <c r="U174" s="4"/>
      <c r="V174" s="3"/>
      <c r="W174" s="12"/>
      <c r="X174" s="11"/>
      <c r="Y174" s="4"/>
      <c r="Z174" s="3"/>
      <c r="AA174" s="13"/>
      <c r="AB174" s="106"/>
      <c r="AC174" s="102"/>
      <c r="AD174" s="113">
        <f t="shared" si="27"/>
        <v>1645.5491379310345</v>
      </c>
      <c r="AE174" s="52">
        <f t="shared" si="28"/>
        <v>0.3750000029468205</v>
      </c>
    </row>
    <row r="175" spans="2:31" s="27" customFormat="1" ht="12.75">
      <c r="B175" s="80">
        <v>172</v>
      </c>
      <c r="C175" s="35" t="s">
        <v>588</v>
      </c>
      <c r="D175" s="3" t="s">
        <v>155</v>
      </c>
      <c r="E175" s="39" t="s">
        <v>156</v>
      </c>
      <c r="F175" s="61">
        <v>71</v>
      </c>
      <c r="G175" s="4" t="s">
        <v>66</v>
      </c>
      <c r="H175" s="14">
        <f>60/17400</f>
        <v>0.0034482758620689655</v>
      </c>
      <c r="I175" s="10">
        <f>H175*204639</f>
        <v>705.6517241379311</v>
      </c>
      <c r="J175" s="11">
        <v>78</v>
      </c>
      <c r="K175" s="4" t="s">
        <v>66</v>
      </c>
      <c r="L175" s="3">
        <f>60/17400</f>
        <v>0.0034482758620689655</v>
      </c>
      <c r="M175" s="10">
        <f>L175*1067919</f>
        <v>3682.4793103448274</v>
      </c>
      <c r="N175" s="89">
        <f t="shared" si="29"/>
        <v>4388.131034482758</v>
      </c>
      <c r="O175" s="90">
        <f t="shared" si="30"/>
        <v>1.0000000078581879</v>
      </c>
      <c r="P175" s="61"/>
      <c r="Q175" s="4"/>
      <c r="R175" s="3"/>
      <c r="S175" s="12"/>
      <c r="T175" s="11"/>
      <c r="U175" s="4"/>
      <c r="V175" s="3"/>
      <c r="W175" s="12"/>
      <c r="X175" s="11"/>
      <c r="Y175" s="4"/>
      <c r="Z175" s="3"/>
      <c r="AA175" s="13"/>
      <c r="AB175" s="106"/>
      <c r="AC175" s="102"/>
      <c r="AD175" s="113">
        <f t="shared" si="27"/>
        <v>4388.131034482758</v>
      </c>
      <c r="AE175" s="52">
        <f t="shared" si="28"/>
        <v>1.0000000078581879</v>
      </c>
    </row>
    <row r="176" spans="2:31" s="27" customFormat="1" ht="12.75">
      <c r="B176" s="80">
        <v>173</v>
      </c>
      <c r="C176" s="35" t="s">
        <v>589</v>
      </c>
      <c r="D176" s="3" t="s">
        <v>157</v>
      </c>
      <c r="E176" s="39" t="s">
        <v>158</v>
      </c>
      <c r="F176" s="61">
        <v>72</v>
      </c>
      <c r="G176" s="4" t="s">
        <v>19</v>
      </c>
      <c r="H176" s="3">
        <f>90/17400</f>
        <v>0.005172413793103448</v>
      </c>
      <c r="I176" s="10">
        <f>H176*204639</f>
        <v>1058.4775862068966</v>
      </c>
      <c r="J176" s="11">
        <v>79</v>
      </c>
      <c r="K176" s="4" t="s">
        <v>19</v>
      </c>
      <c r="L176" s="3">
        <f>90/17400</f>
        <v>0.005172413793103448</v>
      </c>
      <c r="M176" s="10">
        <f>L176*1067919</f>
        <v>5523.7189655172415</v>
      </c>
      <c r="N176" s="89">
        <f t="shared" si="29"/>
        <v>6582.196551724138</v>
      </c>
      <c r="O176" s="90">
        <f t="shared" si="30"/>
        <v>1.500000011787282</v>
      </c>
      <c r="P176" s="61">
        <v>22</v>
      </c>
      <c r="Q176" s="4" t="s">
        <v>356</v>
      </c>
      <c r="R176" s="3">
        <f>4/584</f>
        <v>0.00684931506849315</v>
      </c>
      <c r="S176" s="12">
        <f>R176*550774</f>
        <v>3772.4246575342463</v>
      </c>
      <c r="T176" s="11">
        <v>17</v>
      </c>
      <c r="U176" s="4" t="s">
        <v>356</v>
      </c>
      <c r="V176" s="3">
        <f>4/584</f>
        <v>0.00684931506849315</v>
      </c>
      <c r="W176" s="12">
        <f>V176*202</f>
        <v>1.3835616438356164</v>
      </c>
      <c r="AA176" s="13"/>
      <c r="AB176" s="106">
        <f t="shared" si="25"/>
        <v>3773.808219178082</v>
      </c>
      <c r="AC176" s="102">
        <f t="shared" si="26"/>
        <v>0.606910677181746</v>
      </c>
      <c r="AD176" s="113">
        <f t="shared" si="27"/>
        <v>10356.00477090222</v>
      </c>
      <c r="AE176" s="52">
        <f t="shared" si="28"/>
        <v>2.3600035575287563</v>
      </c>
    </row>
    <row r="177" spans="2:31" s="27" customFormat="1" ht="12.75">
      <c r="B177" s="80">
        <v>174</v>
      </c>
      <c r="C177" s="35" t="s">
        <v>589</v>
      </c>
      <c r="D177" s="3" t="s">
        <v>157</v>
      </c>
      <c r="E177" s="39" t="s">
        <v>158</v>
      </c>
      <c r="F177" s="61"/>
      <c r="G177" s="4"/>
      <c r="H177" s="3"/>
      <c r="I177" s="10"/>
      <c r="J177" s="2"/>
      <c r="K177" s="6"/>
      <c r="L177" s="3"/>
      <c r="M177" s="10"/>
      <c r="N177" s="89"/>
      <c r="O177" s="90"/>
      <c r="P177" s="61">
        <v>161</v>
      </c>
      <c r="Q177" s="4" t="s">
        <v>202</v>
      </c>
      <c r="R177" s="3">
        <f>120/17520</f>
        <v>0.00684931506849315</v>
      </c>
      <c r="S177" s="12">
        <f>R177*550774</f>
        <v>3772.4246575342463</v>
      </c>
      <c r="T177" s="11">
        <v>150</v>
      </c>
      <c r="U177" s="4" t="s">
        <v>202</v>
      </c>
      <c r="V177" s="3">
        <f>120/17520</f>
        <v>0.00684931506849315</v>
      </c>
      <c r="W177" s="12">
        <f>V177*202</f>
        <v>1.3835616438356164</v>
      </c>
      <c r="X177" s="11">
        <v>122</v>
      </c>
      <c r="Y177" s="4" t="s">
        <v>202</v>
      </c>
      <c r="Z177" s="3">
        <f>120/17520</f>
        <v>0.00684931506849315</v>
      </c>
      <c r="AA177" s="13">
        <f t="shared" si="37"/>
        <v>2444.253424657534</v>
      </c>
      <c r="AB177" s="106">
        <f t="shared" si="25"/>
        <v>6218.0616438356155</v>
      </c>
      <c r="AC177" s="102">
        <f t="shared" si="26"/>
        <v>0.9999999427209982</v>
      </c>
      <c r="AD177" s="113">
        <f t="shared" si="27"/>
        <v>6218.0616438356155</v>
      </c>
      <c r="AE177" s="52">
        <f t="shared" si="28"/>
        <v>1.4170182348329199</v>
      </c>
    </row>
    <row r="178" spans="2:31" s="27" customFormat="1" ht="12.75">
      <c r="B178" s="80">
        <v>175</v>
      </c>
      <c r="C178" s="35" t="s">
        <v>590</v>
      </c>
      <c r="D178" s="3" t="s">
        <v>338</v>
      </c>
      <c r="E178" s="39" t="s">
        <v>339</v>
      </c>
      <c r="F178" s="61"/>
      <c r="G178" s="4"/>
      <c r="H178" s="14"/>
      <c r="I178" s="10"/>
      <c r="J178" s="11">
        <v>80</v>
      </c>
      <c r="K178" s="4" t="s">
        <v>22</v>
      </c>
      <c r="L178" s="14">
        <f>180/17400</f>
        <v>0.010344827586206896</v>
      </c>
      <c r="M178" s="10">
        <f>L178*1067919</f>
        <v>11047.437931034483</v>
      </c>
      <c r="N178" s="89">
        <f t="shared" si="29"/>
        <v>11047.437931034483</v>
      </c>
      <c r="O178" s="90">
        <f t="shared" si="30"/>
        <v>2.5175724997805404</v>
      </c>
      <c r="P178" s="61"/>
      <c r="Q178" s="4"/>
      <c r="R178" s="14"/>
      <c r="S178" s="12"/>
      <c r="T178" s="11"/>
      <c r="U178" s="4"/>
      <c r="V178" s="14"/>
      <c r="W178" s="12"/>
      <c r="X178" s="11"/>
      <c r="Y178" s="4"/>
      <c r="Z178" s="35"/>
      <c r="AA178" s="13"/>
      <c r="AB178" s="106"/>
      <c r="AC178" s="102"/>
      <c r="AD178" s="113">
        <f t="shared" si="27"/>
        <v>11047.437931034483</v>
      </c>
      <c r="AE178" s="52">
        <f t="shared" si="28"/>
        <v>2.5175724997805404</v>
      </c>
    </row>
    <row r="179" spans="2:31" s="27" customFormat="1" ht="12.75">
      <c r="B179" s="80">
        <v>176</v>
      </c>
      <c r="C179" s="35" t="s">
        <v>415</v>
      </c>
      <c r="D179" s="3" t="s">
        <v>416</v>
      </c>
      <c r="E179" s="39" t="s">
        <v>417</v>
      </c>
      <c r="F179" s="61"/>
      <c r="G179" s="4"/>
      <c r="H179" s="3"/>
      <c r="I179" s="10"/>
      <c r="J179" s="2"/>
      <c r="K179" s="6"/>
      <c r="L179" s="3"/>
      <c r="M179" s="10"/>
      <c r="N179" s="89"/>
      <c r="O179" s="90"/>
      <c r="P179" s="61">
        <v>83</v>
      </c>
      <c r="Q179" s="4" t="s">
        <v>368</v>
      </c>
      <c r="R179" s="14">
        <f>8/1752</f>
        <v>0.0045662100456621</v>
      </c>
      <c r="S179" s="12">
        <f>R179*550774</f>
        <v>2514.9497716894975</v>
      </c>
      <c r="T179" s="11">
        <v>74</v>
      </c>
      <c r="U179" s="4" t="s">
        <v>368</v>
      </c>
      <c r="V179" s="14">
        <f>8/1752</f>
        <v>0.0045662100456621</v>
      </c>
      <c r="W179" s="12">
        <f>V179*202</f>
        <v>0.9223744292237442</v>
      </c>
      <c r="X179" s="11">
        <v>56</v>
      </c>
      <c r="Y179" s="4" t="s">
        <v>368</v>
      </c>
      <c r="Z179" s="3">
        <f>8/1752</f>
        <v>0.0045662100456621</v>
      </c>
      <c r="AA179" s="13">
        <f>Z179*356861</f>
        <v>1629.5022831050228</v>
      </c>
      <c r="AB179" s="106">
        <f t="shared" si="25"/>
        <v>4145.374429223744</v>
      </c>
      <c r="AC179" s="102">
        <f t="shared" si="26"/>
        <v>0.6666666284806656</v>
      </c>
      <c r="AD179" s="113">
        <f t="shared" si="27"/>
        <v>4145.374429223744</v>
      </c>
      <c r="AE179" s="52">
        <f t="shared" si="28"/>
        <v>0.9446788232219466</v>
      </c>
    </row>
    <row r="180" spans="2:31" s="27" customFormat="1" ht="12.75">
      <c r="B180" s="80">
        <v>177</v>
      </c>
      <c r="C180" s="35" t="s">
        <v>418</v>
      </c>
      <c r="D180" s="3" t="s">
        <v>419</v>
      </c>
      <c r="E180" s="39" t="s">
        <v>420</v>
      </c>
      <c r="F180" s="61"/>
      <c r="G180" s="4"/>
      <c r="H180" s="3"/>
      <c r="I180" s="10"/>
      <c r="J180" s="2"/>
      <c r="K180" s="6"/>
      <c r="L180" s="3"/>
      <c r="M180" s="10"/>
      <c r="N180" s="89"/>
      <c r="O180" s="90"/>
      <c r="P180" s="61">
        <v>84</v>
      </c>
      <c r="Q180" s="4" t="s">
        <v>368</v>
      </c>
      <c r="R180" s="3">
        <f>8/1752</f>
        <v>0.0045662100456621</v>
      </c>
      <c r="S180" s="12">
        <f>R180*550774</f>
        <v>2514.9497716894975</v>
      </c>
      <c r="T180" s="11">
        <v>75</v>
      </c>
      <c r="U180" s="4" t="s">
        <v>368</v>
      </c>
      <c r="V180" s="14">
        <f>8/1752</f>
        <v>0.0045662100456621</v>
      </c>
      <c r="W180" s="12">
        <f>V180*202</f>
        <v>0.9223744292237442</v>
      </c>
      <c r="X180" s="11">
        <v>57</v>
      </c>
      <c r="Y180" s="4" t="s">
        <v>368</v>
      </c>
      <c r="Z180" s="3">
        <f>8/1752</f>
        <v>0.0045662100456621</v>
      </c>
      <c r="AA180" s="13">
        <f>Z180*356861</f>
        <v>1629.5022831050228</v>
      </c>
      <c r="AB180" s="106">
        <f t="shared" si="25"/>
        <v>4145.374429223744</v>
      </c>
      <c r="AC180" s="102">
        <f t="shared" si="26"/>
        <v>0.6666666284806656</v>
      </c>
      <c r="AD180" s="113">
        <f t="shared" si="27"/>
        <v>4145.374429223744</v>
      </c>
      <c r="AE180" s="52">
        <f t="shared" si="28"/>
        <v>0.9446788232219466</v>
      </c>
    </row>
    <row r="181" spans="2:31" s="27" customFormat="1" ht="12.75">
      <c r="B181" s="80">
        <v>178</v>
      </c>
      <c r="C181" s="35" t="s">
        <v>465</v>
      </c>
      <c r="D181" s="3" t="s">
        <v>135</v>
      </c>
      <c r="E181" s="39" t="s">
        <v>466</v>
      </c>
      <c r="F181" s="61"/>
      <c r="G181" s="4"/>
      <c r="H181" s="3"/>
      <c r="I181" s="10"/>
      <c r="J181" s="2"/>
      <c r="K181" s="6"/>
      <c r="L181" s="3"/>
      <c r="M181" s="10"/>
      <c r="N181" s="89"/>
      <c r="O181" s="90"/>
      <c r="P181" s="61">
        <v>166</v>
      </c>
      <c r="Q181" s="4" t="s">
        <v>202</v>
      </c>
      <c r="R181" s="3">
        <f>120/17520</f>
        <v>0.00684931506849315</v>
      </c>
      <c r="S181" s="12">
        <f>R181*550774</f>
        <v>3772.4246575342463</v>
      </c>
      <c r="T181" s="11"/>
      <c r="U181" s="4"/>
      <c r="V181" s="3"/>
      <c r="W181" s="12"/>
      <c r="X181" s="11">
        <v>127</v>
      </c>
      <c r="Y181" s="4" t="s">
        <v>202</v>
      </c>
      <c r="Z181" s="3">
        <f>120/17520</f>
        <v>0.00684931506849315</v>
      </c>
      <c r="AA181" s="13">
        <f>Z181*356861</f>
        <v>2444.253424657534</v>
      </c>
      <c r="AB181" s="106">
        <f t="shared" si="25"/>
        <v>6216.67808219178</v>
      </c>
      <c r="AC181" s="102">
        <f t="shared" si="26"/>
        <v>0.9997774358299708</v>
      </c>
      <c r="AD181" s="113">
        <f t="shared" si="27"/>
        <v>6216.67808219178</v>
      </c>
      <c r="AE181" s="52">
        <f t="shared" si="28"/>
        <v>1.4167029384928982</v>
      </c>
    </row>
    <row r="182" spans="2:31" s="74" customFormat="1" ht="38.25">
      <c r="B182" s="81">
        <v>179</v>
      </c>
      <c r="C182" s="77" t="s">
        <v>278</v>
      </c>
      <c r="D182" s="64" t="s">
        <v>272</v>
      </c>
      <c r="E182" s="65" t="s">
        <v>273</v>
      </c>
      <c r="F182" s="66">
        <v>127</v>
      </c>
      <c r="G182" s="67" t="s">
        <v>274</v>
      </c>
      <c r="H182" s="68">
        <f>1230314260812/36079597091261</f>
        <v>0.0341</v>
      </c>
      <c r="I182" s="69">
        <f>H182*204639</f>
        <v>6978.189899999999</v>
      </c>
      <c r="J182" s="70"/>
      <c r="K182" s="72"/>
      <c r="L182" s="64"/>
      <c r="M182" s="69"/>
      <c r="N182" s="89">
        <f t="shared" si="29"/>
        <v>6978.189899999999</v>
      </c>
      <c r="O182" s="90">
        <f t="shared" si="30"/>
        <v>1.5902419275997</v>
      </c>
      <c r="P182" s="66">
        <v>204</v>
      </c>
      <c r="Q182" s="67" t="s">
        <v>506</v>
      </c>
      <c r="R182" s="68">
        <f>1428173527177/19808231999681</f>
        <v>0.0721</v>
      </c>
      <c r="S182" s="71">
        <f>R182*550774</f>
        <v>39710.8054</v>
      </c>
      <c r="T182" s="70"/>
      <c r="U182" s="72"/>
      <c r="V182" s="64"/>
      <c r="W182" s="71"/>
      <c r="X182" s="70"/>
      <c r="Y182" s="72"/>
      <c r="Z182" s="64"/>
      <c r="AA182" s="73"/>
      <c r="AB182" s="107">
        <f t="shared" si="25"/>
        <v>39710.8054</v>
      </c>
      <c r="AC182" s="103">
        <f t="shared" si="26"/>
        <v>6.386363693382279</v>
      </c>
      <c r="AD182" s="114">
        <f t="shared" si="27"/>
        <v>46688.995299999995</v>
      </c>
      <c r="AE182" s="110">
        <f t="shared" si="28"/>
        <v>10.639836253749031</v>
      </c>
    </row>
    <row r="183" spans="2:31" s="27" customFormat="1" ht="12.75">
      <c r="B183" s="80">
        <v>180</v>
      </c>
      <c r="C183" s="35" t="s">
        <v>591</v>
      </c>
      <c r="D183" s="3" t="s">
        <v>340</v>
      </c>
      <c r="E183" s="39" t="s">
        <v>302</v>
      </c>
      <c r="F183" s="61"/>
      <c r="G183" s="4"/>
      <c r="H183" s="14"/>
      <c r="I183" s="10"/>
      <c r="J183" s="11">
        <v>81</v>
      </c>
      <c r="K183" s="4" t="s">
        <v>336</v>
      </c>
      <c r="L183" s="3">
        <f>115/17400</f>
        <v>0.0066091954022988505</v>
      </c>
      <c r="M183" s="10">
        <f>L183*1067919</f>
        <v>7058.085344827586</v>
      </c>
      <c r="N183" s="89">
        <f t="shared" si="29"/>
        <v>7058.085344827586</v>
      </c>
      <c r="O183" s="90">
        <f t="shared" si="30"/>
        <v>1.6084490970820118</v>
      </c>
      <c r="P183" s="61"/>
      <c r="Q183" s="4"/>
      <c r="R183" s="3"/>
      <c r="S183" s="12"/>
      <c r="T183" s="11"/>
      <c r="U183" s="4"/>
      <c r="V183" s="3"/>
      <c r="W183" s="12"/>
      <c r="X183" s="11"/>
      <c r="Y183" s="4"/>
      <c r="Z183" s="3"/>
      <c r="AA183" s="13"/>
      <c r="AB183" s="106"/>
      <c r="AC183" s="102"/>
      <c r="AD183" s="113">
        <f t="shared" si="27"/>
        <v>7058.085344827586</v>
      </c>
      <c r="AE183" s="52">
        <f t="shared" si="28"/>
        <v>1.6084490970820118</v>
      </c>
    </row>
    <row r="184" spans="2:31" s="27" customFormat="1" ht="12.75">
      <c r="B184" s="80">
        <v>181</v>
      </c>
      <c r="C184" s="35" t="s">
        <v>453</v>
      </c>
      <c r="D184" s="3" t="s">
        <v>244</v>
      </c>
      <c r="E184" s="39" t="s">
        <v>454</v>
      </c>
      <c r="F184" s="61"/>
      <c r="G184" s="4"/>
      <c r="H184" s="3"/>
      <c r="I184" s="10"/>
      <c r="J184" s="2"/>
      <c r="K184" s="6"/>
      <c r="L184" s="3"/>
      <c r="M184" s="10"/>
      <c r="N184" s="89"/>
      <c r="O184" s="90"/>
      <c r="P184" s="61">
        <v>144</v>
      </c>
      <c r="Q184" s="4" t="s">
        <v>455</v>
      </c>
      <c r="R184" s="3">
        <f>60/17520</f>
        <v>0.003424657534246575</v>
      </c>
      <c r="S184" s="12">
        <f>R184*550774</f>
        <v>1886.2123287671232</v>
      </c>
      <c r="T184" s="11">
        <v>132</v>
      </c>
      <c r="U184" s="4" t="s">
        <v>455</v>
      </c>
      <c r="V184" s="3">
        <f>60/17520</f>
        <v>0.003424657534246575</v>
      </c>
      <c r="W184" s="12">
        <f>V184*202</f>
        <v>0.6917808219178082</v>
      </c>
      <c r="X184" s="11">
        <v>107</v>
      </c>
      <c r="Y184" s="4" t="s">
        <v>455</v>
      </c>
      <c r="Z184" s="3">
        <f>60/17520</f>
        <v>0.003424657534246575</v>
      </c>
      <c r="AA184" s="13">
        <f>Z184*356861</f>
        <v>1222.126712328767</v>
      </c>
      <c r="AB184" s="106">
        <f t="shared" si="25"/>
        <v>3109.0308219178078</v>
      </c>
      <c r="AC184" s="102">
        <f t="shared" si="26"/>
        <v>0.4999999713604991</v>
      </c>
      <c r="AD184" s="113">
        <f t="shared" si="27"/>
        <v>3109.0308219178078</v>
      </c>
      <c r="AE184" s="52">
        <f t="shared" si="28"/>
        <v>0.7085091174164599</v>
      </c>
    </row>
    <row r="185" spans="2:31" s="27" customFormat="1" ht="12.75">
      <c r="B185" s="80">
        <v>182</v>
      </c>
      <c r="C185" s="35" t="s">
        <v>358</v>
      </c>
      <c r="D185" s="3" t="s">
        <v>167</v>
      </c>
      <c r="E185" s="39" t="s">
        <v>359</v>
      </c>
      <c r="F185" s="61"/>
      <c r="G185" s="4"/>
      <c r="H185" s="14"/>
      <c r="I185" s="10"/>
      <c r="J185" s="11"/>
      <c r="K185" s="4"/>
      <c r="L185" s="14"/>
      <c r="M185" s="10"/>
      <c r="N185" s="89"/>
      <c r="O185" s="90"/>
      <c r="P185" s="61">
        <v>14</v>
      </c>
      <c r="Q185" s="4" t="s">
        <v>356</v>
      </c>
      <c r="R185" s="3">
        <f>4/584</f>
        <v>0.00684931506849315</v>
      </c>
      <c r="S185" s="12">
        <f>R185*550774</f>
        <v>3772.4246575342463</v>
      </c>
      <c r="T185" s="11">
        <v>11</v>
      </c>
      <c r="U185" s="4" t="s">
        <v>356</v>
      </c>
      <c r="V185" s="3">
        <f>4/584</f>
        <v>0.00684931506849315</v>
      </c>
      <c r="W185" s="12">
        <f>V185*202</f>
        <v>1.3835616438356164</v>
      </c>
      <c r="X185" s="11">
        <v>5</v>
      </c>
      <c r="Y185" s="4" t="s">
        <v>356</v>
      </c>
      <c r="Z185" s="3">
        <f>4/584</f>
        <v>0.00684931506849315</v>
      </c>
      <c r="AA185" s="13">
        <f>Z185*356861</f>
        <v>2444.253424657534</v>
      </c>
      <c r="AB185" s="106">
        <f t="shared" si="25"/>
        <v>6218.0616438356155</v>
      </c>
      <c r="AC185" s="102">
        <f t="shared" si="26"/>
        <v>0.9999999427209982</v>
      </c>
      <c r="AD185" s="113">
        <f t="shared" si="27"/>
        <v>6218.0616438356155</v>
      </c>
      <c r="AE185" s="52">
        <f t="shared" si="28"/>
        <v>1.4170182348329199</v>
      </c>
    </row>
    <row r="186" spans="2:31" s="27" customFormat="1" ht="12.75">
      <c r="B186" s="80">
        <v>183</v>
      </c>
      <c r="C186" s="35" t="s">
        <v>358</v>
      </c>
      <c r="D186" s="3" t="s">
        <v>534</v>
      </c>
      <c r="E186" s="39" t="s">
        <v>359</v>
      </c>
      <c r="F186" s="61"/>
      <c r="G186" s="4"/>
      <c r="H186" s="3"/>
      <c r="I186" s="10"/>
      <c r="J186" s="2"/>
      <c r="K186" s="6"/>
      <c r="L186" s="3"/>
      <c r="M186" s="10"/>
      <c r="N186" s="89"/>
      <c r="O186" s="90"/>
      <c r="P186" s="61"/>
      <c r="Q186" s="4"/>
      <c r="R186" s="3"/>
      <c r="S186" s="12"/>
      <c r="T186" s="11"/>
      <c r="U186" s="4"/>
      <c r="V186" s="3"/>
      <c r="W186" s="12"/>
      <c r="X186" s="11">
        <v>8</v>
      </c>
      <c r="Y186" s="4" t="s">
        <v>356</v>
      </c>
      <c r="Z186" s="3">
        <f>4/584</f>
        <v>0.00684931506849315</v>
      </c>
      <c r="AA186" s="13">
        <f>Z186*356861</f>
        <v>2444.253424657534</v>
      </c>
      <c r="AB186" s="106">
        <f t="shared" si="25"/>
        <v>2444.253424657534</v>
      </c>
      <c r="AC186" s="102">
        <f t="shared" si="26"/>
        <v>0.3930892655392523</v>
      </c>
      <c r="AD186" s="113">
        <f t="shared" si="27"/>
        <v>2444.253424657534</v>
      </c>
      <c r="AE186" s="52">
        <f t="shared" si="28"/>
        <v>0.5570146890914456</v>
      </c>
    </row>
    <row r="187" spans="2:31" s="27" customFormat="1" ht="12.75">
      <c r="B187" s="80">
        <v>184</v>
      </c>
      <c r="C187" s="35" t="s">
        <v>358</v>
      </c>
      <c r="D187" s="3" t="s">
        <v>609</v>
      </c>
      <c r="E187" s="39" t="s">
        <v>164</v>
      </c>
      <c r="F187" s="61">
        <v>77</v>
      </c>
      <c r="G187" s="4" t="s">
        <v>79</v>
      </c>
      <c r="H187" s="14">
        <f>100/17400</f>
        <v>0.005747126436781609</v>
      </c>
      <c r="I187" s="10">
        <f>H187*204639</f>
        <v>1176.0862068965516</v>
      </c>
      <c r="J187" s="11">
        <v>83</v>
      </c>
      <c r="K187" s="4" t="s">
        <v>341</v>
      </c>
      <c r="L187" s="3">
        <f>102/17400</f>
        <v>0.0058620689655172415</v>
      </c>
      <c r="M187" s="10">
        <f>L187*1067919</f>
        <v>6260.214827586207</v>
      </c>
      <c r="N187" s="89">
        <f t="shared" si="29"/>
        <v>7436.301034482759</v>
      </c>
      <c r="O187" s="90">
        <f t="shared" si="30"/>
        <v>1.694639707538986</v>
      </c>
      <c r="P187" s="61"/>
      <c r="Q187" s="4"/>
      <c r="R187" s="14"/>
      <c r="S187" s="12"/>
      <c r="T187" s="11"/>
      <c r="U187" s="4"/>
      <c r="V187" s="14"/>
      <c r="W187" s="12"/>
      <c r="X187" s="11"/>
      <c r="Y187" s="4"/>
      <c r="Z187" s="3"/>
      <c r="AA187" s="13"/>
      <c r="AB187" s="106"/>
      <c r="AC187" s="102"/>
      <c r="AD187" s="113">
        <f t="shared" si="27"/>
        <v>7436.301034482759</v>
      </c>
      <c r="AE187" s="52">
        <f t="shared" si="28"/>
        <v>1.694639707538986</v>
      </c>
    </row>
    <row r="188" spans="2:31" s="27" customFormat="1" ht="12.75">
      <c r="B188" s="80">
        <v>185</v>
      </c>
      <c r="C188" s="35" t="s">
        <v>159</v>
      </c>
      <c r="D188" s="5" t="s">
        <v>161</v>
      </c>
      <c r="E188" s="39" t="s">
        <v>162</v>
      </c>
      <c r="F188" s="61">
        <v>95</v>
      </c>
      <c r="G188" s="4" t="s">
        <v>197</v>
      </c>
      <c r="H188" s="14">
        <f>130/17400</f>
        <v>0.007471264367816092</v>
      </c>
      <c r="I188" s="10">
        <f>H188*204639</f>
        <v>1528.9120689655172</v>
      </c>
      <c r="J188" s="11"/>
      <c r="K188" s="4"/>
      <c r="L188" s="3"/>
      <c r="M188" s="10"/>
      <c r="N188" s="89">
        <f t="shared" si="29"/>
        <v>1528.9120689655172</v>
      </c>
      <c r="O188" s="90">
        <f t="shared" si="30"/>
        <v>0.34841987829568377</v>
      </c>
      <c r="P188" s="61"/>
      <c r="Q188" s="4"/>
      <c r="R188" s="3"/>
      <c r="S188" s="12"/>
      <c r="T188" s="11"/>
      <c r="U188" s="4"/>
      <c r="V188" s="3"/>
      <c r="W188" s="12"/>
      <c r="X188" s="11"/>
      <c r="Y188" s="4"/>
      <c r="Z188" s="3"/>
      <c r="AA188" s="13"/>
      <c r="AB188" s="106"/>
      <c r="AC188" s="102"/>
      <c r="AD188" s="113">
        <f t="shared" si="27"/>
        <v>1528.9120689655172</v>
      </c>
      <c r="AE188" s="52">
        <f t="shared" si="28"/>
        <v>0.34841987829568377</v>
      </c>
    </row>
    <row r="189" spans="2:31" s="27" customFormat="1" ht="12.75">
      <c r="B189" s="80">
        <v>186</v>
      </c>
      <c r="C189" s="35" t="s">
        <v>159</v>
      </c>
      <c r="D189" s="3" t="s">
        <v>340</v>
      </c>
      <c r="E189" s="39" t="s">
        <v>399</v>
      </c>
      <c r="F189" s="61"/>
      <c r="G189" s="4"/>
      <c r="H189" s="3"/>
      <c r="I189" s="10"/>
      <c r="J189" s="2"/>
      <c r="K189" s="6"/>
      <c r="L189" s="14"/>
      <c r="M189" s="10"/>
      <c r="N189" s="89"/>
      <c r="O189" s="90"/>
      <c r="P189" s="61">
        <v>74</v>
      </c>
      <c r="Q189" s="4" t="s">
        <v>400</v>
      </c>
      <c r="R189" s="14">
        <f>1/584</f>
        <v>0.0017123287671232876</v>
      </c>
      <c r="S189" s="12">
        <f>R189*550774</f>
        <v>943.1061643835616</v>
      </c>
      <c r="T189" s="11">
        <v>66</v>
      </c>
      <c r="U189" s="4" t="s">
        <v>400</v>
      </c>
      <c r="V189" s="14">
        <f>1/584</f>
        <v>0.0017123287671232876</v>
      </c>
      <c r="W189" s="12">
        <f>V189*202</f>
        <v>0.3458904109589041</v>
      </c>
      <c r="X189" s="11">
        <v>48</v>
      </c>
      <c r="Y189" s="4" t="s">
        <v>400</v>
      </c>
      <c r="Z189" s="3">
        <f>1/584</f>
        <v>0.0017123287671232876</v>
      </c>
      <c r="AA189" s="13">
        <f>Z189*356861</f>
        <v>611.0633561643835</v>
      </c>
      <c r="AB189" s="106">
        <f t="shared" si="25"/>
        <v>1554.5154109589039</v>
      </c>
      <c r="AC189" s="102">
        <f t="shared" si="26"/>
        <v>0.24999998568024956</v>
      </c>
      <c r="AD189" s="113">
        <f t="shared" si="27"/>
        <v>1554.5154109589039</v>
      </c>
      <c r="AE189" s="52">
        <f t="shared" si="28"/>
        <v>0.35425455870822997</v>
      </c>
    </row>
    <row r="190" spans="2:31" s="27" customFormat="1" ht="12.75">
      <c r="B190" s="80">
        <v>187</v>
      </c>
      <c r="C190" s="35" t="s">
        <v>592</v>
      </c>
      <c r="D190" s="3" t="s">
        <v>633</v>
      </c>
      <c r="E190" s="39" t="s">
        <v>160</v>
      </c>
      <c r="F190" s="61">
        <v>75</v>
      </c>
      <c r="G190" s="4" t="s">
        <v>34</v>
      </c>
      <c r="H190" s="14">
        <f>120/17400</f>
        <v>0.006896551724137931</v>
      </c>
      <c r="I190" s="10">
        <f>H190*204639</f>
        <v>1411.3034482758621</v>
      </c>
      <c r="J190" s="11">
        <v>84</v>
      </c>
      <c r="K190" s="4" t="s">
        <v>336</v>
      </c>
      <c r="L190" s="14">
        <f>115/17400</f>
        <v>0.0066091954022988505</v>
      </c>
      <c r="M190" s="10">
        <f>L190*1067919</f>
        <v>7058.085344827586</v>
      </c>
      <c r="N190" s="89">
        <f t="shared" si="29"/>
        <v>8469.388793103448</v>
      </c>
      <c r="O190" s="90">
        <f t="shared" si="30"/>
        <v>1.9300674462780276</v>
      </c>
      <c r="P190" s="61">
        <v>145</v>
      </c>
      <c r="Q190" s="4" t="s">
        <v>202</v>
      </c>
      <c r="R190" s="14">
        <f>120/17520</f>
        <v>0.00684931506849315</v>
      </c>
      <c r="S190" s="12">
        <f>R190*550774</f>
        <v>3772.4246575342463</v>
      </c>
      <c r="T190" s="11">
        <v>133</v>
      </c>
      <c r="U190" s="4" t="s">
        <v>531</v>
      </c>
      <c r="V190" s="14">
        <f>220/17520</f>
        <v>0.012557077625570776</v>
      </c>
      <c r="W190" s="12">
        <f>V190*202</f>
        <v>2.536529680365297</v>
      </c>
      <c r="X190" s="11">
        <v>108</v>
      </c>
      <c r="Y190" s="4" t="s">
        <v>202</v>
      </c>
      <c r="Z190" s="3">
        <f>120/17520</f>
        <v>0.00684931506849315</v>
      </c>
      <c r="AA190" s="13">
        <f>Z190*356861</f>
        <v>2444.253424657534</v>
      </c>
      <c r="AB190" s="106">
        <f t="shared" si="25"/>
        <v>6219.214611872146</v>
      </c>
      <c r="AC190" s="102">
        <f t="shared" si="26"/>
        <v>1.0001853651301877</v>
      </c>
      <c r="AD190" s="113">
        <f t="shared" si="27"/>
        <v>14688.603404975593</v>
      </c>
      <c r="AE190" s="52">
        <f t="shared" si="28"/>
        <v>3.347348428060965</v>
      </c>
    </row>
    <row r="191" spans="2:31" s="27" customFormat="1" ht="12.75">
      <c r="B191" s="80">
        <v>188</v>
      </c>
      <c r="C191" s="35" t="s">
        <v>159</v>
      </c>
      <c r="D191" s="3" t="s">
        <v>161</v>
      </c>
      <c r="E191" s="39" t="s">
        <v>162</v>
      </c>
      <c r="F191" s="61">
        <v>76</v>
      </c>
      <c r="G191" s="4" t="s">
        <v>163</v>
      </c>
      <c r="H191" s="14">
        <f>65/17400</f>
        <v>0.003735632183908046</v>
      </c>
      <c r="I191" s="10">
        <f>H191*204639</f>
        <v>764.4560344827586</v>
      </c>
      <c r="J191" s="11">
        <v>85</v>
      </c>
      <c r="K191" s="4" t="s">
        <v>63</v>
      </c>
      <c r="L191" s="14">
        <f>195/17400</f>
        <v>0.011206896551724138</v>
      </c>
      <c r="M191" s="10">
        <f>L191*1067919</f>
        <v>11968.05775862069</v>
      </c>
      <c r="N191" s="89">
        <f t="shared" si="29"/>
        <v>12732.513793103448</v>
      </c>
      <c r="O191" s="90">
        <f t="shared" si="30"/>
        <v>2.9015801472434273</v>
      </c>
      <c r="P191" s="61"/>
      <c r="Q191" s="4"/>
      <c r="R191" s="14"/>
      <c r="S191" s="12"/>
      <c r="T191" s="11"/>
      <c r="U191" s="4"/>
      <c r="V191" s="14"/>
      <c r="W191" s="12"/>
      <c r="X191" s="11"/>
      <c r="Y191" s="4"/>
      <c r="Z191" s="3"/>
      <c r="AA191" s="13"/>
      <c r="AB191" s="106"/>
      <c r="AC191" s="102"/>
      <c r="AD191" s="113">
        <f t="shared" si="27"/>
        <v>12732.513793103448</v>
      </c>
      <c r="AE191" s="52">
        <f t="shared" si="28"/>
        <v>2.9015801472434273</v>
      </c>
    </row>
    <row r="192" spans="2:31" s="27" customFormat="1" ht="12.75">
      <c r="B192" s="80">
        <v>189</v>
      </c>
      <c r="C192" s="35" t="s">
        <v>592</v>
      </c>
      <c r="D192" s="3" t="s">
        <v>427</v>
      </c>
      <c r="E192" s="39" t="s">
        <v>428</v>
      </c>
      <c r="F192" s="61"/>
      <c r="G192" s="4"/>
      <c r="H192" s="3"/>
      <c r="I192" s="10"/>
      <c r="J192" s="2"/>
      <c r="K192" s="6"/>
      <c r="L192" s="3"/>
      <c r="M192" s="10"/>
      <c r="N192" s="89"/>
      <c r="O192" s="90"/>
      <c r="P192" s="61">
        <v>89</v>
      </c>
      <c r="Q192" s="4" t="s">
        <v>368</v>
      </c>
      <c r="R192" s="3">
        <f>8/1752</f>
        <v>0.0045662100456621</v>
      </c>
      <c r="S192" s="12">
        <f>R192*550774</f>
        <v>2514.9497716894975</v>
      </c>
      <c r="T192" s="11"/>
      <c r="U192" s="4"/>
      <c r="V192" s="3"/>
      <c r="W192" s="12"/>
      <c r="X192" s="11">
        <v>62</v>
      </c>
      <c r="Y192" s="4" t="s">
        <v>368</v>
      </c>
      <c r="Z192" s="3">
        <f>8/1752</f>
        <v>0.0045662100456621</v>
      </c>
      <c r="AA192" s="13">
        <f>Z192*356861</f>
        <v>1629.5022831050228</v>
      </c>
      <c r="AB192" s="106">
        <f t="shared" si="25"/>
        <v>4144.45205479452</v>
      </c>
      <c r="AC192" s="102">
        <f t="shared" si="26"/>
        <v>0.6665182905533139</v>
      </c>
      <c r="AD192" s="113">
        <f t="shared" si="27"/>
        <v>4144.45205479452</v>
      </c>
      <c r="AE192" s="52">
        <f t="shared" si="28"/>
        <v>0.9444686256619321</v>
      </c>
    </row>
    <row r="193" spans="2:31" s="27" customFormat="1" ht="12.75">
      <c r="B193" s="80">
        <v>190</v>
      </c>
      <c r="C193" s="35" t="s">
        <v>461</v>
      </c>
      <c r="D193" s="3" t="s">
        <v>165</v>
      </c>
      <c r="E193" s="39" t="s">
        <v>166</v>
      </c>
      <c r="F193" s="61"/>
      <c r="G193" s="4"/>
      <c r="H193" s="3"/>
      <c r="I193" s="10"/>
      <c r="J193" s="2"/>
      <c r="K193" s="6"/>
      <c r="L193" s="3"/>
      <c r="M193" s="10"/>
      <c r="N193" s="89"/>
      <c r="O193" s="90"/>
      <c r="P193" s="61">
        <v>162</v>
      </c>
      <c r="Q193" s="4" t="s">
        <v>202</v>
      </c>
      <c r="R193" s="3">
        <f>120/17520</f>
        <v>0.00684931506849315</v>
      </c>
      <c r="S193" s="12">
        <f>R193*550774</f>
        <v>3772.4246575342463</v>
      </c>
      <c r="T193" s="11">
        <v>151</v>
      </c>
      <c r="U193" s="4" t="s">
        <v>202</v>
      </c>
      <c r="V193" s="3">
        <f>120/17520</f>
        <v>0.00684931506849315</v>
      </c>
      <c r="W193" s="12">
        <f>V193*202</f>
        <v>1.3835616438356164</v>
      </c>
      <c r="X193" s="11">
        <v>123</v>
      </c>
      <c r="Y193" s="4" t="s">
        <v>202</v>
      </c>
      <c r="Z193" s="3">
        <f>120/17520</f>
        <v>0.00684931506849315</v>
      </c>
      <c r="AA193" s="13">
        <f>Z193*356861</f>
        <v>2444.253424657534</v>
      </c>
      <c r="AB193" s="106">
        <f t="shared" si="25"/>
        <v>6218.0616438356155</v>
      </c>
      <c r="AC193" s="102">
        <f t="shared" si="26"/>
        <v>0.9999999427209982</v>
      </c>
      <c r="AD193" s="113">
        <f t="shared" si="27"/>
        <v>6218.0616438356155</v>
      </c>
      <c r="AE193" s="52">
        <f t="shared" si="28"/>
        <v>1.4170182348329199</v>
      </c>
    </row>
    <row r="194" spans="2:31" s="27" customFormat="1" ht="12.75">
      <c r="B194" s="80">
        <v>191</v>
      </c>
      <c r="C194" s="35" t="s">
        <v>461</v>
      </c>
      <c r="D194" s="3" t="s">
        <v>165</v>
      </c>
      <c r="E194" s="39" t="s">
        <v>166</v>
      </c>
      <c r="F194" s="61">
        <v>78</v>
      </c>
      <c r="G194" s="4" t="s">
        <v>79</v>
      </c>
      <c r="H194" s="14">
        <f>100/17400</f>
        <v>0.005747126436781609</v>
      </c>
      <c r="I194" s="10">
        <f>H194*204639</f>
        <v>1176.0862068965516</v>
      </c>
      <c r="J194" s="11">
        <v>82</v>
      </c>
      <c r="K194" s="4" t="s">
        <v>341</v>
      </c>
      <c r="L194" s="3">
        <f>102/17400</f>
        <v>0.0058620689655172415</v>
      </c>
      <c r="M194" s="10">
        <f>L194*1067919</f>
        <v>6260.214827586207</v>
      </c>
      <c r="N194" s="89">
        <f t="shared" si="29"/>
        <v>7436.301034482759</v>
      </c>
      <c r="O194" s="90">
        <f t="shared" si="30"/>
        <v>1.694639707538986</v>
      </c>
      <c r="P194" s="61">
        <v>36</v>
      </c>
      <c r="Q194" s="4" t="s">
        <v>356</v>
      </c>
      <c r="R194" s="3">
        <f>4/584</f>
        <v>0.00684931506849315</v>
      </c>
      <c r="S194" s="12">
        <f>R194*550774</f>
        <v>3772.4246575342463</v>
      </c>
      <c r="T194" s="11">
        <v>29</v>
      </c>
      <c r="U194" s="4" t="s">
        <v>356</v>
      </c>
      <c r="V194" s="3">
        <f>4/584</f>
        <v>0.00684931506849315</v>
      </c>
      <c r="W194" s="12">
        <f>V194*202</f>
        <v>1.3835616438356164</v>
      </c>
      <c r="X194" s="11">
        <v>13</v>
      </c>
      <c r="Y194" s="4" t="s">
        <v>356</v>
      </c>
      <c r="Z194" s="3">
        <f>4/584</f>
        <v>0.00684931506849315</v>
      </c>
      <c r="AA194" s="13">
        <f>Z194*356861</f>
        <v>2444.253424657534</v>
      </c>
      <c r="AB194" s="106">
        <f t="shared" si="25"/>
        <v>6218.0616438356155</v>
      </c>
      <c r="AC194" s="102">
        <f t="shared" si="26"/>
        <v>0.9999999427209982</v>
      </c>
      <c r="AD194" s="113">
        <f t="shared" si="27"/>
        <v>13654.362678318375</v>
      </c>
      <c r="AE194" s="52">
        <f t="shared" si="28"/>
        <v>3.111657942371906</v>
      </c>
    </row>
    <row r="195" spans="2:31" s="27" customFormat="1" ht="12.75">
      <c r="B195" s="80">
        <v>192</v>
      </c>
      <c r="C195" s="35" t="s">
        <v>204</v>
      </c>
      <c r="D195" s="3" t="s">
        <v>608</v>
      </c>
      <c r="E195" s="39" t="s">
        <v>205</v>
      </c>
      <c r="F195" s="61">
        <v>100</v>
      </c>
      <c r="G195" s="4" t="s">
        <v>34</v>
      </c>
      <c r="H195" s="3">
        <f>120/17400</f>
        <v>0.006896551724137931</v>
      </c>
      <c r="I195" s="10">
        <f>H195*204639</f>
        <v>1411.3034482758621</v>
      </c>
      <c r="J195" s="11"/>
      <c r="K195" s="4"/>
      <c r="L195" s="3"/>
      <c r="M195" s="10"/>
      <c r="N195" s="89">
        <f t="shared" si="29"/>
        <v>1411.3034482758621</v>
      </c>
      <c r="O195" s="90">
        <f t="shared" si="30"/>
        <v>0.3216183491960158</v>
      </c>
      <c r="P195" s="61"/>
      <c r="Q195" s="4"/>
      <c r="R195" s="3"/>
      <c r="S195" s="12"/>
      <c r="T195" s="11">
        <v>168</v>
      </c>
      <c r="U195" s="4" t="s">
        <v>356</v>
      </c>
      <c r="V195" s="3">
        <f>4/584</f>
        <v>0.00684931506849315</v>
      </c>
      <c r="W195" s="12">
        <f>V195*202</f>
        <v>1.3835616438356164</v>
      </c>
      <c r="X195" s="11">
        <v>142</v>
      </c>
      <c r="Y195" s="4" t="s">
        <v>356</v>
      </c>
      <c r="Z195" s="3">
        <f>4/584</f>
        <v>0.00684931506849315</v>
      </c>
      <c r="AA195" s="13">
        <f>Z195*356861</f>
        <v>2444.253424657534</v>
      </c>
      <c r="AB195" s="106">
        <f t="shared" si="25"/>
        <v>2445.6369863013697</v>
      </c>
      <c r="AC195" s="102">
        <f t="shared" si="26"/>
        <v>0.3933117724302797</v>
      </c>
      <c r="AD195" s="113">
        <f t="shared" si="27"/>
        <v>3856.940434577232</v>
      </c>
      <c r="AE195" s="52">
        <f t="shared" si="28"/>
        <v>0.878948334627483</v>
      </c>
    </row>
    <row r="196" spans="2:31" s="27" customFormat="1" ht="12.75">
      <c r="B196" s="80">
        <v>193</v>
      </c>
      <c r="C196" s="35" t="s">
        <v>593</v>
      </c>
      <c r="D196" s="3" t="s">
        <v>607</v>
      </c>
      <c r="E196" s="39" t="s">
        <v>507</v>
      </c>
      <c r="F196" s="61"/>
      <c r="G196" s="4"/>
      <c r="H196" s="3"/>
      <c r="I196" s="10"/>
      <c r="J196" s="2"/>
      <c r="K196" s="6"/>
      <c r="L196" s="3"/>
      <c r="M196" s="10"/>
      <c r="N196" s="89"/>
      <c r="O196" s="90"/>
      <c r="P196" s="61">
        <v>206</v>
      </c>
      <c r="Q196" s="4" t="s">
        <v>356</v>
      </c>
      <c r="R196" s="3">
        <f>4/584</f>
        <v>0.00684931506849315</v>
      </c>
      <c r="S196" s="12">
        <f>R196*550774</f>
        <v>3772.4246575342463</v>
      </c>
      <c r="T196" s="11"/>
      <c r="U196" s="4"/>
      <c r="V196" s="3"/>
      <c r="W196" s="12"/>
      <c r="X196" s="11"/>
      <c r="Y196" s="4"/>
      <c r="Z196" s="3"/>
      <c r="AA196" s="13"/>
      <c r="AB196" s="106">
        <f t="shared" si="25"/>
        <v>3772.4246575342463</v>
      </c>
      <c r="AC196" s="102">
        <f t="shared" si="26"/>
        <v>0.6066881702907186</v>
      </c>
      <c r="AD196" s="113">
        <f t="shared" si="27"/>
        <v>3772.4246575342463</v>
      </c>
      <c r="AE196" s="52">
        <f t="shared" si="28"/>
        <v>0.8596882494014527</v>
      </c>
    </row>
    <row r="197" spans="2:31" s="27" customFormat="1" ht="12.75">
      <c r="B197" s="80">
        <v>194</v>
      </c>
      <c r="C197" s="35" t="s">
        <v>594</v>
      </c>
      <c r="D197" s="3" t="s">
        <v>342</v>
      </c>
      <c r="E197" s="39" t="s">
        <v>343</v>
      </c>
      <c r="F197" s="61"/>
      <c r="G197" s="4"/>
      <c r="H197" s="14"/>
      <c r="I197" s="10"/>
      <c r="J197" s="11">
        <v>86</v>
      </c>
      <c r="K197" s="4" t="s">
        <v>344</v>
      </c>
      <c r="L197" s="14">
        <f>285/17400</f>
        <v>0.016379310344827588</v>
      </c>
      <c r="M197" s="10">
        <f>L197*1067919</f>
        <v>17491.776724137933</v>
      </c>
      <c r="N197" s="89">
        <f t="shared" si="29"/>
        <v>17491.776724137933</v>
      </c>
      <c r="O197" s="90">
        <f t="shared" si="30"/>
        <v>3.986156457985856</v>
      </c>
      <c r="P197" s="61">
        <v>179</v>
      </c>
      <c r="Q197" s="4" t="s">
        <v>356</v>
      </c>
      <c r="R197" s="14">
        <f>4/584</f>
        <v>0.00684931506849315</v>
      </c>
      <c r="S197" s="12">
        <f>R197*550774</f>
        <v>3772.4246575342463</v>
      </c>
      <c r="T197" s="11">
        <v>166</v>
      </c>
      <c r="U197" s="4" t="s">
        <v>356</v>
      </c>
      <c r="V197" s="14">
        <f>4/584</f>
        <v>0.00684931506849315</v>
      </c>
      <c r="W197" s="12">
        <f>V197*202</f>
        <v>1.3835616438356164</v>
      </c>
      <c r="X197" s="11">
        <v>140</v>
      </c>
      <c r="Y197" s="4" t="s">
        <v>356</v>
      </c>
      <c r="Z197" s="3">
        <f>4/584</f>
        <v>0.00684931506849315</v>
      </c>
      <c r="AA197" s="13">
        <f>Z197*356861</f>
        <v>2444.253424657534</v>
      </c>
      <c r="AB197" s="106">
        <f aca="true" t="shared" si="38" ref="AB197:AB227">S197+W197+AA197</f>
        <v>6218.0616438356155</v>
      </c>
      <c r="AC197" s="102">
        <f aca="true" t="shared" si="39" ref="AC197:AC227">(S197+W197+AA197)/6218.062</f>
        <v>0.9999999427209982</v>
      </c>
      <c r="AD197" s="113">
        <f aca="true" t="shared" si="40" ref="AD197:AD229">I197+M197+S197+W197+AA197</f>
        <v>23709.838367973553</v>
      </c>
      <c r="AE197" s="52">
        <f aca="true" t="shared" si="41" ref="AE197:AE229">AD197/4388.131</f>
        <v>5.4031746928187765</v>
      </c>
    </row>
    <row r="198" spans="2:31" s="27" customFormat="1" ht="12.75">
      <c r="B198" s="80">
        <v>195</v>
      </c>
      <c r="C198" s="35" t="s">
        <v>595</v>
      </c>
      <c r="D198" s="3" t="s">
        <v>221</v>
      </c>
      <c r="E198" s="39" t="s">
        <v>345</v>
      </c>
      <c r="F198" s="61"/>
      <c r="G198" s="4"/>
      <c r="H198" s="14"/>
      <c r="I198" s="10"/>
      <c r="J198" s="11">
        <v>87</v>
      </c>
      <c r="K198" s="4" t="s">
        <v>344</v>
      </c>
      <c r="L198" s="3">
        <f>285/17400</f>
        <v>0.016379310344827588</v>
      </c>
      <c r="M198" s="10">
        <f>L198*1067919</f>
        <v>17491.776724137933</v>
      </c>
      <c r="N198" s="89">
        <f aca="true" t="shared" si="42" ref="N198:N229">I198+M198</f>
        <v>17491.776724137933</v>
      </c>
      <c r="O198" s="90">
        <f aca="true" t="shared" si="43" ref="O198:O229">(I198+M198)/4388.131</f>
        <v>3.986156457985856</v>
      </c>
      <c r="P198" s="61"/>
      <c r="Q198" s="4"/>
      <c r="R198" s="3"/>
      <c r="S198" s="12"/>
      <c r="T198" s="11"/>
      <c r="U198" s="4"/>
      <c r="V198" s="3"/>
      <c r="W198" s="12"/>
      <c r="X198" s="11">
        <v>124</v>
      </c>
      <c r="Y198" s="4" t="s">
        <v>489</v>
      </c>
      <c r="Z198" s="3">
        <f>3/146</f>
        <v>0.02054794520547945</v>
      </c>
      <c r="AA198" s="13">
        <f>Z198*356861</f>
        <v>7332.760273972603</v>
      </c>
      <c r="AB198" s="106">
        <f t="shared" si="38"/>
        <v>7332.760273972603</v>
      </c>
      <c r="AC198" s="102">
        <f t="shared" si="39"/>
        <v>1.179267796617757</v>
      </c>
      <c r="AD198" s="113">
        <f t="shared" si="40"/>
        <v>24824.536998110536</v>
      </c>
      <c r="AE198" s="52">
        <f t="shared" si="41"/>
        <v>5.657200525260192</v>
      </c>
    </row>
    <row r="199" spans="2:31" s="27" customFormat="1" ht="12.75">
      <c r="B199" s="80">
        <v>196</v>
      </c>
      <c r="C199" s="35" t="s">
        <v>243</v>
      </c>
      <c r="D199" s="3" t="s">
        <v>244</v>
      </c>
      <c r="E199" s="39" t="s">
        <v>245</v>
      </c>
      <c r="F199" s="61">
        <v>115</v>
      </c>
      <c r="G199" s="4" t="s">
        <v>242</v>
      </c>
      <c r="H199" s="14">
        <f>435/69600</f>
        <v>0.00625</v>
      </c>
      <c r="I199" s="10">
        <f>H199*204639</f>
        <v>1278.99375</v>
      </c>
      <c r="J199" s="11"/>
      <c r="K199" s="4"/>
      <c r="L199" s="3"/>
      <c r="M199" s="10"/>
      <c r="N199" s="89">
        <f t="shared" si="42"/>
        <v>1278.99375</v>
      </c>
      <c r="O199" s="90">
        <f t="shared" si="43"/>
        <v>0.2914666289588893</v>
      </c>
      <c r="P199" s="61">
        <v>63</v>
      </c>
      <c r="Q199" s="4" t="s">
        <v>387</v>
      </c>
      <c r="R199" s="3">
        <f>70/11680</f>
        <v>0.0059931506849315065</v>
      </c>
      <c r="S199" s="12">
        <f>R199*550774</f>
        <v>3300.8715753424653</v>
      </c>
      <c r="T199" s="11">
        <v>55</v>
      </c>
      <c r="U199" s="4" t="s">
        <v>387</v>
      </c>
      <c r="V199" s="3">
        <f>70/11680</f>
        <v>0.0059931506849315065</v>
      </c>
      <c r="W199" s="12">
        <f>V199*202</f>
        <v>1.2106164383561644</v>
      </c>
      <c r="X199" s="11">
        <v>37</v>
      </c>
      <c r="Y199" s="4" t="s">
        <v>387</v>
      </c>
      <c r="Z199" s="3">
        <f>70/11680</f>
        <v>0.0059931506849315065</v>
      </c>
      <c r="AA199" s="13">
        <f>Z199*356861</f>
        <v>2138.7217465753424</v>
      </c>
      <c r="AB199" s="106">
        <f t="shared" si="38"/>
        <v>5440.8039383561645</v>
      </c>
      <c r="AC199" s="102">
        <f t="shared" si="39"/>
        <v>0.8749999498808736</v>
      </c>
      <c r="AD199" s="113">
        <f t="shared" si="40"/>
        <v>6719.797688356164</v>
      </c>
      <c r="AE199" s="52">
        <f t="shared" si="41"/>
        <v>1.5313575844376943</v>
      </c>
    </row>
    <row r="200" spans="2:31" s="27" customFormat="1" ht="12.75">
      <c r="B200" s="80">
        <v>197</v>
      </c>
      <c r="C200" s="35" t="s">
        <v>267</v>
      </c>
      <c r="D200" s="3" t="s">
        <v>268</v>
      </c>
      <c r="E200" s="39" t="s">
        <v>269</v>
      </c>
      <c r="F200" s="61">
        <v>124</v>
      </c>
      <c r="G200" s="4" t="s">
        <v>52</v>
      </c>
      <c r="H200" s="14">
        <f>270/17400</f>
        <v>0.015517241379310345</v>
      </c>
      <c r="I200" s="10">
        <f>H200*204639</f>
        <v>3175.4327586206896</v>
      </c>
      <c r="J200" s="11"/>
      <c r="K200" s="4"/>
      <c r="L200" s="3"/>
      <c r="M200" s="10"/>
      <c r="N200" s="89">
        <f t="shared" si="42"/>
        <v>3175.4327586206896</v>
      </c>
      <c r="O200" s="90">
        <f t="shared" si="43"/>
        <v>0.7236412856910355</v>
      </c>
      <c r="P200" s="61">
        <v>200</v>
      </c>
      <c r="Q200" s="4" t="s">
        <v>440</v>
      </c>
      <c r="R200" s="14">
        <f>240/17520</f>
        <v>0.0136986301369863</v>
      </c>
      <c r="S200" s="12">
        <f>R200*550774</f>
        <v>7544.849315068493</v>
      </c>
      <c r="T200" s="11">
        <v>188</v>
      </c>
      <c r="U200" s="4" t="s">
        <v>440</v>
      </c>
      <c r="V200" s="14">
        <f>240/17520</f>
        <v>0.0136986301369863</v>
      </c>
      <c r="W200" s="12">
        <f>V200*202</f>
        <v>2.767123287671233</v>
      </c>
      <c r="X200" s="11">
        <v>159</v>
      </c>
      <c r="Y200" s="4" t="s">
        <v>440</v>
      </c>
      <c r="Z200" s="3">
        <f>240/17520</f>
        <v>0.0136986301369863</v>
      </c>
      <c r="AA200" s="13">
        <f>Z200*356861</f>
        <v>4888.506849315068</v>
      </c>
      <c r="AB200" s="106">
        <f t="shared" si="38"/>
        <v>12436.123287671231</v>
      </c>
      <c r="AC200" s="102">
        <f t="shared" si="39"/>
        <v>1.9999998854419965</v>
      </c>
      <c r="AD200" s="113">
        <f t="shared" si="40"/>
        <v>15611.556046291922</v>
      </c>
      <c r="AE200" s="52">
        <f t="shared" si="41"/>
        <v>3.5576777553568752</v>
      </c>
    </row>
    <row r="201" spans="2:31" s="27" customFormat="1" ht="12.75">
      <c r="B201" s="80">
        <v>198</v>
      </c>
      <c r="C201" s="35" t="s">
        <v>346</v>
      </c>
      <c r="D201" s="3" t="s">
        <v>167</v>
      </c>
      <c r="E201" s="39" t="s">
        <v>168</v>
      </c>
      <c r="F201" s="61">
        <v>79</v>
      </c>
      <c r="G201" s="4" t="s">
        <v>169</v>
      </c>
      <c r="H201" s="14">
        <f>330/17400</f>
        <v>0.01896551724137931</v>
      </c>
      <c r="I201" s="10">
        <f>H201*204639</f>
        <v>3881.0844827586207</v>
      </c>
      <c r="J201" s="11">
        <v>88</v>
      </c>
      <c r="K201" s="4" t="s">
        <v>169</v>
      </c>
      <c r="L201" s="3">
        <f>330/17400</f>
        <v>0.01896551724137931</v>
      </c>
      <c r="M201" s="10">
        <f>L201*1067919</f>
        <v>20253.63620689655</v>
      </c>
      <c r="N201" s="89">
        <f t="shared" si="42"/>
        <v>24134.720689655172</v>
      </c>
      <c r="O201" s="90">
        <f t="shared" si="43"/>
        <v>5.500000043220034</v>
      </c>
      <c r="P201" s="61">
        <v>147</v>
      </c>
      <c r="Q201" s="4" t="s">
        <v>455</v>
      </c>
      <c r="R201" s="3">
        <f>60/17520</f>
        <v>0.003424657534246575</v>
      </c>
      <c r="S201" s="12">
        <f>R201*550774</f>
        <v>1886.2123287671232</v>
      </c>
      <c r="T201" s="11">
        <v>135</v>
      </c>
      <c r="U201" s="4" t="s">
        <v>455</v>
      </c>
      <c r="V201" s="3">
        <f>60/17520</f>
        <v>0.003424657534246575</v>
      </c>
      <c r="W201" s="12">
        <f>V201*202</f>
        <v>0.6917808219178082</v>
      </c>
      <c r="X201" s="11">
        <v>109</v>
      </c>
      <c r="Y201" s="4" t="s">
        <v>455</v>
      </c>
      <c r="Z201" s="3">
        <f>60/17520</f>
        <v>0.003424657534246575</v>
      </c>
      <c r="AA201" s="13">
        <f>Z201*356861</f>
        <v>1222.126712328767</v>
      </c>
      <c r="AB201" s="106">
        <f t="shared" si="38"/>
        <v>3109.0308219178078</v>
      </c>
      <c r="AC201" s="102">
        <f t="shared" si="39"/>
        <v>0.4999999713604991</v>
      </c>
      <c r="AD201" s="113">
        <f t="shared" si="40"/>
        <v>27243.751511572984</v>
      </c>
      <c r="AE201" s="52">
        <f t="shared" si="41"/>
        <v>6.208509160636495</v>
      </c>
    </row>
    <row r="202" spans="2:31" s="27" customFormat="1" ht="12.75">
      <c r="B202" s="80">
        <v>199</v>
      </c>
      <c r="C202" s="35" t="s">
        <v>509</v>
      </c>
      <c r="D202" s="3"/>
      <c r="E202" s="39" t="s">
        <v>510</v>
      </c>
      <c r="F202" s="61"/>
      <c r="G202" s="4"/>
      <c r="H202" s="3"/>
      <c r="I202" s="10"/>
      <c r="J202" s="2"/>
      <c r="K202" s="6"/>
      <c r="L202" s="3"/>
      <c r="M202" s="10"/>
      <c r="N202" s="89"/>
      <c r="O202" s="90"/>
      <c r="P202" s="61"/>
      <c r="Q202" s="4"/>
      <c r="R202" s="51"/>
      <c r="S202" s="12"/>
      <c r="T202" s="11">
        <v>3</v>
      </c>
      <c r="U202" s="4" t="s">
        <v>357</v>
      </c>
      <c r="V202" s="14">
        <f>8/584</f>
        <v>0.0136986301369863</v>
      </c>
      <c r="W202" s="12">
        <f>V202*202</f>
        <v>2.767123287671233</v>
      </c>
      <c r="X202" s="11"/>
      <c r="Y202" s="4"/>
      <c r="Z202" s="3"/>
      <c r="AA202" s="13"/>
      <c r="AB202" s="106">
        <f t="shared" si="38"/>
        <v>2.767123287671233</v>
      </c>
      <c r="AC202" s="102">
        <f t="shared" si="39"/>
        <v>0.00044501378205479984</v>
      </c>
      <c r="AD202" s="113">
        <f t="shared" si="40"/>
        <v>2.767123287671233</v>
      </c>
      <c r="AE202" s="52">
        <f t="shared" si="41"/>
        <v>0.0006305926800433334</v>
      </c>
    </row>
    <row r="203" spans="2:31" s="27" customFormat="1" ht="12.75">
      <c r="B203" s="80">
        <v>200</v>
      </c>
      <c r="C203" s="35" t="s">
        <v>287</v>
      </c>
      <c r="D203" s="3" t="s">
        <v>288</v>
      </c>
      <c r="E203" s="39" t="s">
        <v>273</v>
      </c>
      <c r="F203" s="61">
        <v>134</v>
      </c>
      <c r="G203" s="4" t="s">
        <v>63</v>
      </c>
      <c r="H203" s="14">
        <f>195/17400</f>
        <v>0.011206896551724138</v>
      </c>
      <c r="I203" s="10">
        <f>H203*204639</f>
        <v>2293.3681034482756</v>
      </c>
      <c r="J203" s="11"/>
      <c r="K203" s="4"/>
      <c r="L203" s="3"/>
      <c r="M203" s="10"/>
      <c r="N203" s="89">
        <f t="shared" si="42"/>
        <v>2293.3681034482756</v>
      </c>
      <c r="O203" s="90">
        <f t="shared" si="43"/>
        <v>0.5226298174435257</v>
      </c>
      <c r="P203" s="61"/>
      <c r="Q203" s="4"/>
      <c r="R203" s="3"/>
      <c r="S203" s="12"/>
      <c r="T203" s="11"/>
      <c r="U203" s="4"/>
      <c r="V203" s="3"/>
      <c r="W203" s="12"/>
      <c r="X203" s="11"/>
      <c r="Y203" s="4"/>
      <c r="Z203" s="3"/>
      <c r="AA203" s="13"/>
      <c r="AB203" s="106"/>
      <c r="AC203" s="102"/>
      <c r="AD203" s="113">
        <f t="shared" si="40"/>
        <v>2293.3681034482756</v>
      </c>
      <c r="AE203" s="52">
        <f t="shared" si="41"/>
        <v>0.5226298174435257</v>
      </c>
    </row>
    <row r="204" spans="2:31" s="27" customFormat="1" ht="12.75">
      <c r="B204" s="80">
        <v>201</v>
      </c>
      <c r="C204" s="37" t="s">
        <v>355</v>
      </c>
      <c r="D204" s="32" t="s">
        <v>288</v>
      </c>
      <c r="E204" s="42"/>
      <c r="F204" s="62"/>
      <c r="G204" s="31"/>
      <c r="H204" s="49"/>
      <c r="I204" s="33"/>
      <c r="J204" s="34">
        <v>104</v>
      </c>
      <c r="K204" s="31" t="s">
        <v>114</v>
      </c>
      <c r="L204" s="32">
        <f>240/17400</f>
        <v>0.013793103448275862</v>
      </c>
      <c r="M204" s="33">
        <f>L204*1067919</f>
        <v>14729.91724137931</v>
      </c>
      <c r="N204" s="89">
        <f t="shared" si="42"/>
        <v>14729.91724137931</v>
      </c>
      <c r="O204" s="90">
        <f t="shared" si="43"/>
        <v>3.3567633330407203</v>
      </c>
      <c r="P204" s="62"/>
      <c r="Q204" s="31"/>
      <c r="R204" s="32"/>
      <c r="S204" s="12"/>
      <c r="T204" s="34"/>
      <c r="U204" s="31"/>
      <c r="V204" s="32"/>
      <c r="W204" s="12"/>
      <c r="X204" s="34"/>
      <c r="Y204" s="31"/>
      <c r="Z204" s="32"/>
      <c r="AA204" s="13"/>
      <c r="AB204" s="106"/>
      <c r="AC204" s="102"/>
      <c r="AD204" s="113">
        <f t="shared" si="40"/>
        <v>14729.91724137931</v>
      </c>
      <c r="AE204" s="52">
        <f t="shared" si="41"/>
        <v>3.3567633330407203</v>
      </c>
    </row>
    <row r="205" spans="2:31" s="27" customFormat="1" ht="12.75">
      <c r="B205" s="80">
        <v>202</v>
      </c>
      <c r="C205" s="35" t="s">
        <v>538</v>
      </c>
      <c r="D205" s="3" t="s">
        <v>198</v>
      </c>
      <c r="E205" s="39" t="s">
        <v>199</v>
      </c>
      <c r="F205" s="61"/>
      <c r="G205" s="4"/>
      <c r="H205" s="3"/>
      <c r="I205" s="10"/>
      <c r="J205" s="11"/>
      <c r="K205" s="4"/>
      <c r="L205" s="3"/>
      <c r="M205" s="10"/>
      <c r="N205" s="89"/>
      <c r="O205" s="90"/>
      <c r="P205" s="61"/>
      <c r="Q205" s="4"/>
      <c r="R205" s="3"/>
      <c r="S205" s="12"/>
      <c r="T205" s="11"/>
      <c r="U205" s="4"/>
      <c r="V205" s="3"/>
      <c r="W205" s="12"/>
      <c r="X205" s="11">
        <v>110</v>
      </c>
      <c r="Y205" s="4" t="s">
        <v>432</v>
      </c>
      <c r="Z205" s="3">
        <f>4/1752</f>
        <v>0.00228310502283105</v>
      </c>
      <c r="AA205" s="13">
        <f>Z205*356861</f>
        <v>814.7511415525114</v>
      </c>
      <c r="AB205" s="106">
        <f t="shared" si="38"/>
        <v>814.7511415525114</v>
      </c>
      <c r="AC205" s="102">
        <f t="shared" si="39"/>
        <v>0.13102975517975077</v>
      </c>
      <c r="AD205" s="113">
        <f t="shared" si="40"/>
        <v>814.7511415525114</v>
      </c>
      <c r="AE205" s="52">
        <f t="shared" si="41"/>
        <v>0.18567156303048185</v>
      </c>
    </row>
    <row r="206" spans="2:31" s="27" customFormat="1" ht="12.75">
      <c r="B206" s="80">
        <v>203</v>
      </c>
      <c r="C206" s="36" t="s">
        <v>538</v>
      </c>
      <c r="D206" s="24" t="s">
        <v>198</v>
      </c>
      <c r="E206" s="40" t="s">
        <v>199</v>
      </c>
      <c r="F206" s="61">
        <v>96</v>
      </c>
      <c r="G206" s="4" t="s">
        <v>34</v>
      </c>
      <c r="H206" s="3">
        <f>120/17400</f>
        <v>0.006896551724137931</v>
      </c>
      <c r="I206" s="10">
        <f>H206*204639</f>
        <v>1411.3034482758621</v>
      </c>
      <c r="J206" s="23">
        <v>89</v>
      </c>
      <c r="K206" s="20" t="s">
        <v>34</v>
      </c>
      <c r="L206" s="24">
        <f>120/17400</f>
        <v>0.006896551724137931</v>
      </c>
      <c r="M206" s="22">
        <f>L206*1067919</f>
        <v>7364.958620689655</v>
      </c>
      <c r="N206" s="89">
        <f t="shared" si="42"/>
        <v>8776.262068965516</v>
      </c>
      <c r="O206" s="90">
        <f t="shared" si="43"/>
        <v>2.0000000157163758</v>
      </c>
      <c r="P206" s="60">
        <v>8</v>
      </c>
      <c r="Q206" s="20" t="s">
        <v>357</v>
      </c>
      <c r="R206" s="24">
        <f>8/584</f>
        <v>0.0136986301369863</v>
      </c>
      <c r="S206" s="25">
        <f>R206*550774</f>
        <v>7544.849315068493</v>
      </c>
      <c r="T206" s="23">
        <v>8</v>
      </c>
      <c r="U206" s="20" t="s">
        <v>357</v>
      </c>
      <c r="V206" s="21">
        <f>8/584</f>
        <v>0.0136986301369863</v>
      </c>
      <c r="W206" s="25">
        <f>V206*202</f>
        <v>2.767123287671233</v>
      </c>
      <c r="X206" s="23">
        <v>3</v>
      </c>
      <c r="Y206" s="20" t="s">
        <v>357</v>
      </c>
      <c r="Z206" s="24">
        <f>8/584</f>
        <v>0.0136986301369863</v>
      </c>
      <c r="AA206" s="26">
        <f>Z206*356861</f>
        <v>4888.506849315068</v>
      </c>
      <c r="AB206" s="106">
        <f t="shared" si="38"/>
        <v>12436.123287671231</v>
      </c>
      <c r="AC206" s="102">
        <f t="shared" si="39"/>
        <v>1.9999998854419965</v>
      </c>
      <c r="AD206" s="113">
        <f t="shared" si="40"/>
        <v>21212.385356636747</v>
      </c>
      <c r="AE206" s="52">
        <f t="shared" si="41"/>
        <v>4.8340364853822155</v>
      </c>
    </row>
    <row r="207" spans="2:31" s="27" customFormat="1" ht="12.75">
      <c r="B207" s="80">
        <v>204</v>
      </c>
      <c r="C207" s="35" t="s">
        <v>634</v>
      </c>
      <c r="D207" s="3" t="s">
        <v>17</v>
      </c>
      <c r="E207" s="39" t="s">
        <v>170</v>
      </c>
      <c r="F207" s="61">
        <v>80</v>
      </c>
      <c r="G207" s="4" t="s">
        <v>19</v>
      </c>
      <c r="H207" s="3">
        <f>90/17400</f>
        <v>0.005172413793103448</v>
      </c>
      <c r="I207" s="10">
        <f>H207*204639</f>
        <v>1058.4775862068966</v>
      </c>
      <c r="J207" s="11">
        <v>90</v>
      </c>
      <c r="K207" s="4" t="s">
        <v>19</v>
      </c>
      <c r="L207" s="3">
        <f>90/17400</f>
        <v>0.005172413793103448</v>
      </c>
      <c r="M207" s="10">
        <f>L207*1067919</f>
        <v>5523.7189655172415</v>
      </c>
      <c r="N207" s="89">
        <f t="shared" si="42"/>
        <v>6582.196551724138</v>
      </c>
      <c r="O207" s="90">
        <f t="shared" si="43"/>
        <v>1.500000011787282</v>
      </c>
      <c r="P207" s="61">
        <v>148</v>
      </c>
      <c r="Q207" s="4" t="s">
        <v>432</v>
      </c>
      <c r="R207" s="3">
        <f>4/1752</f>
        <v>0.00228310502283105</v>
      </c>
      <c r="S207" s="12">
        <f>R207*550774</f>
        <v>1257.4748858447488</v>
      </c>
      <c r="T207" s="11">
        <v>136</v>
      </c>
      <c r="U207" s="4" t="s">
        <v>432</v>
      </c>
      <c r="V207" s="3">
        <f>4/1752</f>
        <v>0.00228310502283105</v>
      </c>
      <c r="W207" s="12">
        <f>V207*202</f>
        <v>0.4611872146118721</v>
      </c>
      <c r="X207" s="11"/>
      <c r="Y207" s="4"/>
      <c r="Z207" s="3"/>
      <c r="AA207" s="13"/>
      <c r="AB207" s="106">
        <f t="shared" si="38"/>
        <v>1257.9360730593608</v>
      </c>
      <c r="AC207" s="102">
        <f t="shared" si="39"/>
        <v>0.20230355906058203</v>
      </c>
      <c r="AD207" s="113">
        <f t="shared" si="40"/>
        <v>7840.132624783498</v>
      </c>
      <c r="AE207" s="52">
        <f t="shared" si="41"/>
        <v>1.7866678603677733</v>
      </c>
    </row>
    <row r="208" spans="2:31" s="27" customFormat="1" ht="12.75">
      <c r="B208" s="80">
        <v>205</v>
      </c>
      <c r="C208" s="35" t="s">
        <v>596</v>
      </c>
      <c r="D208" s="3" t="s">
        <v>279</v>
      </c>
      <c r="E208" s="39" t="s">
        <v>280</v>
      </c>
      <c r="F208" s="61">
        <v>129</v>
      </c>
      <c r="G208" s="4" t="s">
        <v>66</v>
      </c>
      <c r="H208" s="14">
        <f>60/17400</f>
        <v>0.0034482758620689655</v>
      </c>
      <c r="I208" s="10">
        <f>H208*204639</f>
        <v>705.6517241379311</v>
      </c>
      <c r="J208" s="11"/>
      <c r="K208" s="4"/>
      <c r="L208" s="3"/>
      <c r="M208" s="10"/>
      <c r="N208" s="89">
        <f t="shared" si="42"/>
        <v>705.6517241379311</v>
      </c>
      <c r="O208" s="90">
        <f t="shared" si="43"/>
        <v>0.1608091745980079</v>
      </c>
      <c r="P208" s="61">
        <v>205</v>
      </c>
      <c r="Q208" s="4" t="s">
        <v>496</v>
      </c>
      <c r="R208" s="3">
        <f>65/17520</f>
        <v>0.0037100456621004564</v>
      </c>
      <c r="S208" s="12">
        <f>R208*550774</f>
        <v>2043.3966894977168</v>
      </c>
      <c r="T208" s="11">
        <v>192</v>
      </c>
      <c r="U208" s="4" t="s">
        <v>496</v>
      </c>
      <c r="V208" s="3">
        <f>65/17520</f>
        <v>0.0037100456621004564</v>
      </c>
      <c r="W208" s="12">
        <f>V208*202</f>
        <v>0.7494292237442922</v>
      </c>
      <c r="X208" s="11">
        <v>163</v>
      </c>
      <c r="Y208" s="4" t="s">
        <v>496</v>
      </c>
      <c r="Z208" s="3">
        <f>65/17520</f>
        <v>0.0037100456621004564</v>
      </c>
      <c r="AA208" s="13">
        <f>Z208*356861</f>
        <v>1323.970605022831</v>
      </c>
      <c r="AB208" s="106">
        <f t="shared" si="38"/>
        <v>3368.1167237442924</v>
      </c>
      <c r="AC208" s="102">
        <f t="shared" si="39"/>
        <v>0.5416666356405409</v>
      </c>
      <c r="AD208" s="113">
        <f t="shared" si="40"/>
        <v>4073.7684478822234</v>
      </c>
      <c r="AE208" s="52">
        <f t="shared" si="41"/>
        <v>0.9283607184658396</v>
      </c>
    </row>
    <row r="209" spans="2:31" s="27" customFormat="1" ht="12.75">
      <c r="B209" s="80">
        <v>206</v>
      </c>
      <c r="C209" s="35" t="s">
        <v>597</v>
      </c>
      <c r="D209" s="3" t="s">
        <v>173</v>
      </c>
      <c r="E209" s="39" t="s">
        <v>174</v>
      </c>
      <c r="F209" s="61"/>
      <c r="G209" s="4"/>
      <c r="H209" s="3"/>
      <c r="I209" s="10"/>
      <c r="J209" s="2"/>
      <c r="K209" s="6"/>
      <c r="L209" s="3"/>
      <c r="M209" s="10"/>
      <c r="N209" s="89"/>
      <c r="O209" s="90"/>
      <c r="P209" s="61"/>
      <c r="Q209" s="4"/>
      <c r="R209" s="3"/>
      <c r="S209" s="12"/>
      <c r="T209" s="11">
        <v>138</v>
      </c>
      <c r="U209" s="4" t="s">
        <v>440</v>
      </c>
      <c r="V209" s="14">
        <f>240/17520</f>
        <v>0.0136986301369863</v>
      </c>
      <c r="W209" s="12">
        <f>V209*202</f>
        <v>2.767123287671233</v>
      </c>
      <c r="X209" s="11"/>
      <c r="Y209" s="4"/>
      <c r="Z209" s="3"/>
      <c r="AA209" s="13"/>
      <c r="AB209" s="106">
        <f t="shared" si="38"/>
        <v>2.767123287671233</v>
      </c>
      <c r="AC209" s="102">
        <f t="shared" si="39"/>
        <v>0.00044501378205479984</v>
      </c>
      <c r="AD209" s="113">
        <f t="shared" si="40"/>
        <v>2.767123287671233</v>
      </c>
      <c r="AE209" s="52">
        <f t="shared" si="41"/>
        <v>0.0006305926800433334</v>
      </c>
    </row>
    <row r="210" spans="2:31" s="27" customFormat="1" ht="12.75">
      <c r="B210" s="80">
        <v>207</v>
      </c>
      <c r="C210" s="35" t="s">
        <v>597</v>
      </c>
      <c r="D210" s="3" t="s">
        <v>173</v>
      </c>
      <c r="E210" s="39" t="s">
        <v>174</v>
      </c>
      <c r="F210" s="61">
        <v>82</v>
      </c>
      <c r="G210" s="4" t="s">
        <v>34</v>
      </c>
      <c r="H210" s="14">
        <f>120/17400</f>
        <v>0.006896551724137931</v>
      </c>
      <c r="I210" s="10">
        <f>H210*204639</f>
        <v>1411.3034482758621</v>
      </c>
      <c r="J210" s="11">
        <v>93</v>
      </c>
      <c r="K210" s="4" t="s">
        <v>34</v>
      </c>
      <c r="L210" s="3">
        <f>120/17400</f>
        <v>0.006896551724137931</v>
      </c>
      <c r="M210" s="10">
        <f>L210*1067919</f>
        <v>7364.958620689655</v>
      </c>
      <c r="N210" s="89">
        <f t="shared" si="42"/>
        <v>8776.262068965516</v>
      </c>
      <c r="O210" s="90">
        <f t="shared" si="43"/>
        <v>2.0000000157163758</v>
      </c>
      <c r="P210" s="61">
        <v>149</v>
      </c>
      <c r="Q210" s="4" t="s">
        <v>455</v>
      </c>
      <c r="R210" s="3">
        <f>60/17520</f>
        <v>0.003424657534246575</v>
      </c>
      <c r="S210" s="12">
        <f>R210*550774</f>
        <v>1886.2123287671232</v>
      </c>
      <c r="T210" s="11">
        <v>137</v>
      </c>
      <c r="U210" s="4" t="s">
        <v>455</v>
      </c>
      <c r="V210" s="3">
        <f>60/17520</f>
        <v>0.003424657534246575</v>
      </c>
      <c r="W210" s="12">
        <f>V210*202</f>
        <v>0.6917808219178082</v>
      </c>
      <c r="X210" s="11">
        <v>111</v>
      </c>
      <c r="Y210" s="4" t="s">
        <v>455</v>
      </c>
      <c r="Z210" s="3">
        <f>60/17520</f>
        <v>0.003424657534246575</v>
      </c>
      <c r="AA210" s="13">
        <f>Z210*356861</f>
        <v>1222.126712328767</v>
      </c>
      <c r="AB210" s="106">
        <f t="shared" si="38"/>
        <v>3109.0308219178078</v>
      </c>
      <c r="AC210" s="102">
        <f t="shared" si="39"/>
        <v>0.4999999713604991</v>
      </c>
      <c r="AD210" s="113">
        <f t="shared" si="40"/>
        <v>11885.292890883326</v>
      </c>
      <c r="AE210" s="52">
        <f t="shared" si="41"/>
        <v>2.708509133132836</v>
      </c>
    </row>
    <row r="211" spans="2:31" s="27" customFormat="1" ht="12.75">
      <c r="B211" s="80">
        <v>208</v>
      </c>
      <c r="C211" s="35" t="s">
        <v>598</v>
      </c>
      <c r="D211" s="3" t="s">
        <v>175</v>
      </c>
      <c r="E211" s="39" t="s">
        <v>176</v>
      </c>
      <c r="F211" s="61">
        <v>83</v>
      </c>
      <c r="G211" s="4" t="s">
        <v>47</v>
      </c>
      <c r="H211" s="14">
        <f>105/17400</f>
        <v>0.00603448275862069</v>
      </c>
      <c r="I211" s="10">
        <f>H211*204639</f>
        <v>1234.8905172413793</v>
      </c>
      <c r="J211" s="11">
        <v>95</v>
      </c>
      <c r="K211" s="4" t="s">
        <v>47</v>
      </c>
      <c r="L211" s="3">
        <f>105/17400</f>
        <v>0.00603448275862069</v>
      </c>
      <c r="M211" s="10">
        <f>L211*1067919</f>
        <v>6444.338793103449</v>
      </c>
      <c r="N211" s="89">
        <f t="shared" si="42"/>
        <v>7679.229310344828</v>
      </c>
      <c r="O211" s="90">
        <f t="shared" si="43"/>
        <v>1.7500000137518292</v>
      </c>
      <c r="P211" s="61"/>
      <c r="Q211" s="4"/>
      <c r="R211" s="3"/>
      <c r="S211" s="12"/>
      <c r="T211" s="11"/>
      <c r="U211" s="4"/>
      <c r="V211" s="3"/>
      <c r="W211" s="12"/>
      <c r="X211" s="11"/>
      <c r="Y211" s="4"/>
      <c r="Z211" s="3"/>
      <c r="AA211" s="13"/>
      <c r="AB211" s="106"/>
      <c r="AC211" s="102"/>
      <c r="AD211" s="113">
        <f t="shared" si="40"/>
        <v>7679.229310344828</v>
      </c>
      <c r="AE211" s="52">
        <f t="shared" si="41"/>
        <v>1.7500000137518292</v>
      </c>
    </row>
    <row r="212" spans="2:31" s="27" customFormat="1" ht="12.75">
      <c r="B212" s="80">
        <v>209</v>
      </c>
      <c r="C212" s="35" t="s">
        <v>456</v>
      </c>
      <c r="D212" s="3" t="s">
        <v>181</v>
      </c>
      <c r="E212" s="39" t="s">
        <v>101</v>
      </c>
      <c r="F212" s="61"/>
      <c r="G212" s="4"/>
      <c r="H212" s="3"/>
      <c r="I212" s="10"/>
      <c r="J212" s="2"/>
      <c r="K212" s="6"/>
      <c r="L212" s="3"/>
      <c r="M212" s="10"/>
      <c r="N212" s="89"/>
      <c r="O212" s="90"/>
      <c r="P212" s="61">
        <v>150</v>
      </c>
      <c r="Q212" s="4" t="s">
        <v>440</v>
      </c>
      <c r="R212" s="3">
        <f>240/17520</f>
        <v>0.0136986301369863</v>
      </c>
      <c r="S212" s="12">
        <f>R212*550774</f>
        <v>7544.849315068493</v>
      </c>
      <c r="T212" s="11"/>
      <c r="U212" s="4"/>
      <c r="V212" s="3"/>
      <c r="W212" s="12"/>
      <c r="X212" s="11">
        <v>112</v>
      </c>
      <c r="Y212" s="4" t="s">
        <v>440</v>
      </c>
      <c r="Z212" s="3">
        <f>240/17520</f>
        <v>0.0136986301369863</v>
      </c>
      <c r="AA212" s="13">
        <f>Z212*356861</f>
        <v>4888.506849315068</v>
      </c>
      <c r="AB212" s="106">
        <f t="shared" si="38"/>
        <v>12433.35616438356</v>
      </c>
      <c r="AC212" s="102">
        <f t="shared" si="39"/>
        <v>1.9995548716599416</v>
      </c>
      <c r="AD212" s="113">
        <f t="shared" si="40"/>
        <v>12433.35616438356</v>
      </c>
      <c r="AE212" s="52">
        <f t="shared" si="41"/>
        <v>2.8334058769857964</v>
      </c>
    </row>
    <row r="213" spans="2:31" s="27" customFormat="1" ht="12.75">
      <c r="B213" s="80">
        <v>210</v>
      </c>
      <c r="C213" s="35" t="s">
        <v>177</v>
      </c>
      <c r="D213" s="3" t="s">
        <v>178</v>
      </c>
      <c r="E213" s="39" t="s">
        <v>179</v>
      </c>
      <c r="F213" s="61">
        <v>84</v>
      </c>
      <c r="G213" s="4" t="s">
        <v>58</v>
      </c>
      <c r="H213" s="14">
        <f>45/17400</f>
        <v>0.002586206896551724</v>
      </c>
      <c r="I213" s="10">
        <f>H213*204639</f>
        <v>529.2387931034483</v>
      </c>
      <c r="J213" s="11">
        <v>94</v>
      </c>
      <c r="K213" s="4" t="s">
        <v>58</v>
      </c>
      <c r="L213" s="3">
        <f>45/17400</f>
        <v>0.002586206896551724</v>
      </c>
      <c r="M213" s="10">
        <f>L213*1067919</f>
        <v>2761.8594827586207</v>
      </c>
      <c r="N213" s="89">
        <f t="shared" si="42"/>
        <v>3291.098275862069</v>
      </c>
      <c r="O213" s="90">
        <f t="shared" si="43"/>
        <v>0.750000005893641</v>
      </c>
      <c r="P213" s="61">
        <v>70</v>
      </c>
      <c r="Q213" s="4" t="s">
        <v>367</v>
      </c>
      <c r="R213" s="3">
        <f>2/3504</f>
        <v>0.0005707762557077625</v>
      </c>
      <c r="S213" s="12">
        <f>R213*550774</f>
        <v>314.3687214611872</v>
      </c>
      <c r="T213" s="11">
        <v>62</v>
      </c>
      <c r="U213" s="4" t="s">
        <v>367</v>
      </c>
      <c r="V213" s="3">
        <f>2/3504</f>
        <v>0.0005707762557077625</v>
      </c>
      <c r="W213" s="12">
        <f>V213*202</f>
        <v>0.11529680365296803</v>
      </c>
      <c r="X213" s="11">
        <v>44</v>
      </c>
      <c r="Y213" s="4" t="s">
        <v>367</v>
      </c>
      <c r="Z213" s="3">
        <f>2/3504</f>
        <v>0.0005707762557077625</v>
      </c>
      <c r="AA213" s="13">
        <f>Z213*356861</f>
        <v>203.68778538812785</v>
      </c>
      <c r="AB213" s="106">
        <f t="shared" si="38"/>
        <v>518.171803652968</v>
      </c>
      <c r="AC213" s="102">
        <f t="shared" si="39"/>
        <v>0.0833333285600832</v>
      </c>
      <c r="AD213" s="113">
        <f t="shared" si="40"/>
        <v>3809.270079515037</v>
      </c>
      <c r="AE213" s="52">
        <f t="shared" si="41"/>
        <v>0.8680848587963844</v>
      </c>
    </row>
    <row r="214" spans="2:31" s="27" customFormat="1" ht="12.75">
      <c r="B214" s="80">
        <v>211</v>
      </c>
      <c r="C214" s="35" t="s">
        <v>177</v>
      </c>
      <c r="D214" s="3" t="s">
        <v>178</v>
      </c>
      <c r="E214" s="39" t="s">
        <v>179</v>
      </c>
      <c r="F214" s="61"/>
      <c r="G214" s="4"/>
      <c r="H214" s="3"/>
      <c r="I214" s="10"/>
      <c r="J214" s="2"/>
      <c r="K214" s="6"/>
      <c r="L214" s="3"/>
      <c r="M214" s="10"/>
      <c r="N214" s="89"/>
      <c r="O214" s="90"/>
      <c r="P214" s="61">
        <v>170</v>
      </c>
      <c r="Q214" s="4" t="s">
        <v>400</v>
      </c>
      <c r="R214" s="3">
        <f>1/584</f>
        <v>0.0017123287671232876</v>
      </c>
      <c r="S214" s="12">
        <f>R214*550774</f>
        <v>943.1061643835616</v>
      </c>
      <c r="T214" s="11">
        <v>157</v>
      </c>
      <c r="U214" s="4" t="s">
        <v>400</v>
      </c>
      <c r="V214" s="3">
        <f>1/584</f>
        <v>0.0017123287671232876</v>
      </c>
      <c r="W214" s="12">
        <f>V214*202</f>
        <v>0.3458904109589041</v>
      </c>
      <c r="X214" s="11">
        <v>131</v>
      </c>
      <c r="Y214" s="4" t="s">
        <v>400</v>
      </c>
      <c r="Z214" s="3">
        <f>1/584</f>
        <v>0.0017123287671232876</v>
      </c>
      <c r="AA214" s="13">
        <f>Z214*356861</f>
        <v>611.0633561643835</v>
      </c>
      <c r="AB214" s="106">
        <f t="shared" si="38"/>
        <v>1554.5154109589039</v>
      </c>
      <c r="AC214" s="102">
        <f t="shared" si="39"/>
        <v>0.24999998568024956</v>
      </c>
      <c r="AD214" s="113">
        <f t="shared" si="40"/>
        <v>1554.5154109589039</v>
      </c>
      <c r="AE214" s="52">
        <f t="shared" si="41"/>
        <v>0.35425455870822997</v>
      </c>
    </row>
    <row r="215" spans="2:31" s="27" customFormat="1" ht="12.75">
      <c r="B215" s="80">
        <v>212</v>
      </c>
      <c r="C215" s="35" t="s">
        <v>180</v>
      </c>
      <c r="D215" s="3" t="s">
        <v>181</v>
      </c>
      <c r="E215" s="39" t="s">
        <v>182</v>
      </c>
      <c r="F215" s="61">
        <v>85</v>
      </c>
      <c r="G215" s="4" t="s">
        <v>183</v>
      </c>
      <c r="H215" s="14">
        <f>450/17400</f>
        <v>0.02586206896551724</v>
      </c>
      <c r="I215" s="10">
        <f>H215*204639</f>
        <v>5292.387931034483</v>
      </c>
      <c r="J215" s="11">
        <v>96</v>
      </c>
      <c r="K215" s="4" t="s">
        <v>183</v>
      </c>
      <c r="L215" s="3">
        <f>450/17400</f>
        <v>0.02586206896551724</v>
      </c>
      <c r="M215" s="10">
        <f>L215*1067919</f>
        <v>27618.594827586207</v>
      </c>
      <c r="N215" s="89">
        <f t="shared" si="42"/>
        <v>32910.98275862069</v>
      </c>
      <c r="O215" s="90">
        <f t="shared" si="43"/>
        <v>7.5000000589364095</v>
      </c>
      <c r="P215" s="61">
        <v>152</v>
      </c>
      <c r="Q215" s="4" t="s">
        <v>457</v>
      </c>
      <c r="R215" s="3">
        <f>370/17520</f>
        <v>0.021118721461187213</v>
      </c>
      <c r="S215" s="12">
        <f>R215*550774</f>
        <v>11631.642694063927</v>
      </c>
      <c r="T215" s="11">
        <v>140</v>
      </c>
      <c r="U215" s="4" t="s">
        <v>457</v>
      </c>
      <c r="V215" s="3">
        <f>370/17520</f>
        <v>0.021118721461187213</v>
      </c>
      <c r="W215" s="12">
        <f>V215*202</f>
        <v>4.2659817351598175</v>
      </c>
      <c r="X215" s="11">
        <v>113</v>
      </c>
      <c r="Y215" s="4" t="s">
        <v>457</v>
      </c>
      <c r="Z215" s="3">
        <f>370/17520</f>
        <v>0.021118721461187213</v>
      </c>
      <c r="AA215" s="13">
        <f>Z215*356861</f>
        <v>7536.44805936073</v>
      </c>
      <c r="AB215" s="106">
        <f t="shared" si="38"/>
        <v>19172.356735159818</v>
      </c>
      <c r="AC215" s="102">
        <f t="shared" si="39"/>
        <v>3.083333156723078</v>
      </c>
      <c r="AD215" s="113">
        <f t="shared" si="40"/>
        <v>52083.339493780506</v>
      </c>
      <c r="AE215" s="52">
        <f t="shared" si="41"/>
        <v>11.869139616337913</v>
      </c>
    </row>
    <row r="216" spans="2:31" s="27" customFormat="1" ht="12.75">
      <c r="B216" s="80">
        <v>213</v>
      </c>
      <c r="C216" s="35" t="s">
        <v>636</v>
      </c>
      <c r="D216" s="3" t="s">
        <v>171</v>
      </c>
      <c r="E216" s="39" t="s">
        <v>172</v>
      </c>
      <c r="F216" s="61">
        <v>81</v>
      </c>
      <c r="G216" s="4" t="s">
        <v>47</v>
      </c>
      <c r="H216" s="14">
        <f>105/17400</f>
        <v>0.00603448275862069</v>
      </c>
      <c r="I216" s="10">
        <f>H216*204639</f>
        <v>1234.8905172413793</v>
      </c>
      <c r="J216" s="11">
        <v>91</v>
      </c>
      <c r="K216" s="4" t="s">
        <v>47</v>
      </c>
      <c r="L216" s="3">
        <f>105/17400</f>
        <v>0.00603448275862069</v>
      </c>
      <c r="M216" s="10">
        <f>L216*1067919</f>
        <v>6444.338793103449</v>
      </c>
      <c r="N216" s="89">
        <f t="shared" si="42"/>
        <v>7679.229310344828</v>
      </c>
      <c r="O216" s="90">
        <f t="shared" si="43"/>
        <v>1.7500000137518292</v>
      </c>
      <c r="P216" s="61"/>
      <c r="Q216" s="4"/>
      <c r="R216" s="3"/>
      <c r="S216" s="12"/>
      <c r="T216" s="11"/>
      <c r="U216" s="4"/>
      <c r="V216" s="3"/>
      <c r="W216" s="12"/>
      <c r="X216" s="11"/>
      <c r="Y216" s="4"/>
      <c r="Z216" s="3"/>
      <c r="AA216" s="13"/>
      <c r="AB216" s="106"/>
      <c r="AC216" s="102"/>
      <c r="AD216" s="113">
        <f t="shared" si="40"/>
        <v>7679.229310344828</v>
      </c>
      <c r="AE216" s="52">
        <f t="shared" si="41"/>
        <v>1.7500000137518292</v>
      </c>
    </row>
    <row r="217" spans="2:31" s="27" customFormat="1" ht="12.75">
      <c r="B217" s="80">
        <v>214</v>
      </c>
      <c r="C217" s="35" t="s">
        <v>517</v>
      </c>
      <c r="D217" s="3"/>
      <c r="E217" s="39" t="s">
        <v>518</v>
      </c>
      <c r="F217" s="61"/>
      <c r="G217" s="4"/>
      <c r="H217" s="3"/>
      <c r="I217" s="10"/>
      <c r="J217" s="2"/>
      <c r="K217" s="6"/>
      <c r="L217" s="3"/>
      <c r="M217" s="10"/>
      <c r="N217" s="89"/>
      <c r="O217" s="90"/>
      <c r="P217" s="61"/>
      <c r="Q217" s="4"/>
      <c r="R217" s="3"/>
      <c r="S217" s="12"/>
      <c r="T217" s="11">
        <v>23</v>
      </c>
      <c r="U217" s="4" t="s">
        <v>514</v>
      </c>
      <c r="V217" s="3">
        <f>4/2920</f>
        <v>0.0013698630136986301</v>
      </c>
      <c r="W217" s="12">
        <f>V217*202</f>
        <v>0.2767123287671233</v>
      </c>
      <c r="X217" s="11"/>
      <c r="Y217" s="4"/>
      <c r="Z217" s="3"/>
      <c r="AA217" s="13"/>
      <c r="AB217" s="106">
        <f t="shared" si="38"/>
        <v>0.2767123287671233</v>
      </c>
      <c r="AC217" s="102">
        <f t="shared" si="39"/>
        <v>4.450137820547999E-05</v>
      </c>
      <c r="AD217" s="113">
        <f t="shared" si="40"/>
        <v>0.2767123287671233</v>
      </c>
      <c r="AE217" s="52">
        <f t="shared" si="41"/>
        <v>6.305926800433335E-05</v>
      </c>
    </row>
    <row r="218" spans="2:31" s="27" customFormat="1" ht="12.75">
      <c r="B218" s="80">
        <v>215</v>
      </c>
      <c r="C218" s="35" t="s">
        <v>224</v>
      </c>
      <c r="D218" s="3" t="s">
        <v>225</v>
      </c>
      <c r="E218" s="39" t="s">
        <v>226</v>
      </c>
      <c r="F218" s="61">
        <v>107</v>
      </c>
      <c r="G218" s="4" t="s">
        <v>22</v>
      </c>
      <c r="H218" s="14">
        <f>180/17400</f>
        <v>0.010344827586206896</v>
      </c>
      <c r="I218" s="10">
        <f>H218*204639</f>
        <v>2116.955172413793</v>
      </c>
      <c r="J218" s="11"/>
      <c r="K218" s="4"/>
      <c r="L218" s="3"/>
      <c r="M218" s="10"/>
      <c r="N218" s="89">
        <f t="shared" si="42"/>
        <v>2116.955172413793</v>
      </c>
      <c r="O218" s="90">
        <f t="shared" si="43"/>
        <v>0.4824275237940237</v>
      </c>
      <c r="P218" s="61">
        <v>202</v>
      </c>
      <c r="Q218" s="4" t="s">
        <v>445</v>
      </c>
      <c r="R218" s="3">
        <f>360/17520</f>
        <v>0.02054794520547945</v>
      </c>
      <c r="S218" s="12">
        <f>R218*550774</f>
        <v>11317.27397260274</v>
      </c>
      <c r="T218" s="11">
        <v>190</v>
      </c>
      <c r="U218" s="4" t="s">
        <v>445</v>
      </c>
      <c r="V218" s="3">
        <f>360/17520</f>
        <v>0.02054794520547945</v>
      </c>
      <c r="W218" s="12">
        <f>V218*202</f>
        <v>4.1506849315068495</v>
      </c>
      <c r="X218" s="11">
        <v>161</v>
      </c>
      <c r="Y218" s="4" t="s">
        <v>445</v>
      </c>
      <c r="Z218" s="3">
        <f>360/17520</f>
        <v>0.02054794520547945</v>
      </c>
      <c r="AA218" s="13">
        <f>Z218*356861</f>
        <v>7332.760273972603</v>
      </c>
      <c r="AB218" s="106">
        <f t="shared" si="38"/>
        <v>18654.184931506847</v>
      </c>
      <c r="AC218" s="102">
        <f t="shared" si="39"/>
        <v>2.9999998281629945</v>
      </c>
      <c r="AD218" s="113">
        <f t="shared" si="40"/>
        <v>20771.14010392064</v>
      </c>
      <c r="AE218" s="52">
        <f t="shared" si="41"/>
        <v>4.733482228292783</v>
      </c>
    </row>
    <row r="219" spans="2:31" s="27" customFormat="1" ht="12.75">
      <c r="B219" s="80">
        <v>216</v>
      </c>
      <c r="C219" s="35" t="s">
        <v>347</v>
      </c>
      <c r="D219" s="3" t="s">
        <v>348</v>
      </c>
      <c r="E219" s="39" t="s">
        <v>349</v>
      </c>
      <c r="F219" s="61"/>
      <c r="G219" s="4"/>
      <c r="H219" s="14"/>
      <c r="I219" s="10"/>
      <c r="J219" s="11">
        <v>92</v>
      </c>
      <c r="K219" s="4" t="s">
        <v>114</v>
      </c>
      <c r="L219" s="3">
        <f>240/17400</f>
        <v>0.013793103448275862</v>
      </c>
      <c r="M219" s="10">
        <f aca="true" t="shared" si="44" ref="M219:M224">L219*1067919</f>
        <v>14729.91724137931</v>
      </c>
      <c r="N219" s="89">
        <f t="shared" si="42"/>
        <v>14729.91724137931</v>
      </c>
      <c r="O219" s="90">
        <f t="shared" si="43"/>
        <v>3.3567633330407203</v>
      </c>
      <c r="P219" s="61"/>
      <c r="Q219" s="4"/>
      <c r="R219" s="3"/>
      <c r="S219" s="12"/>
      <c r="T219" s="11"/>
      <c r="U219" s="4"/>
      <c r="V219" s="3"/>
      <c r="W219" s="12"/>
      <c r="X219" s="11"/>
      <c r="Y219" s="4"/>
      <c r="Z219" s="3"/>
      <c r="AA219" s="13"/>
      <c r="AB219" s="106"/>
      <c r="AC219" s="102"/>
      <c r="AD219" s="113">
        <f t="shared" si="40"/>
        <v>14729.91724137931</v>
      </c>
      <c r="AE219" s="52">
        <f t="shared" si="41"/>
        <v>3.3567633330407203</v>
      </c>
    </row>
    <row r="220" spans="2:31" s="27" customFormat="1" ht="12.75">
      <c r="B220" s="80">
        <v>217</v>
      </c>
      <c r="C220" s="35" t="s">
        <v>184</v>
      </c>
      <c r="D220" s="3" t="s">
        <v>635</v>
      </c>
      <c r="E220" s="39" t="s">
        <v>185</v>
      </c>
      <c r="F220" s="61">
        <v>87</v>
      </c>
      <c r="G220" s="4" t="s">
        <v>186</v>
      </c>
      <c r="H220" s="14">
        <f>192/17400</f>
        <v>0.011034482758620689</v>
      </c>
      <c r="I220" s="10">
        <f>H220*204639</f>
        <v>2258.085517241379</v>
      </c>
      <c r="J220" s="11">
        <v>97</v>
      </c>
      <c r="K220" s="4" t="s">
        <v>186</v>
      </c>
      <c r="L220" s="3">
        <f>192/17400</f>
        <v>0.011034482758620689</v>
      </c>
      <c r="M220" s="10">
        <f t="shared" si="44"/>
        <v>11783.933793103448</v>
      </c>
      <c r="N220" s="89">
        <f t="shared" si="42"/>
        <v>14042.019310344827</v>
      </c>
      <c r="O220" s="90">
        <f t="shared" si="43"/>
        <v>3.2000000251462013</v>
      </c>
      <c r="P220" s="61">
        <v>48</v>
      </c>
      <c r="Q220" s="4" t="s">
        <v>382</v>
      </c>
      <c r="R220" s="3">
        <f>12/2920</f>
        <v>0.00410958904109589</v>
      </c>
      <c r="S220" s="12">
        <f>R220*550774</f>
        <v>2263.4547945205477</v>
      </c>
      <c r="T220" s="11">
        <v>41</v>
      </c>
      <c r="U220" s="4" t="s">
        <v>382</v>
      </c>
      <c r="V220" s="3">
        <f>12/2920</f>
        <v>0.00410958904109589</v>
      </c>
      <c r="W220" s="12">
        <f>V220*202</f>
        <v>0.8301369863013698</v>
      </c>
      <c r="X220" s="11">
        <v>24</v>
      </c>
      <c r="Y220" s="4" t="s">
        <v>382</v>
      </c>
      <c r="Z220" s="3">
        <f>12/2920</f>
        <v>0.00410958904109589</v>
      </c>
      <c r="AA220" s="13">
        <f>Z220*356861</f>
        <v>1466.5520547945205</v>
      </c>
      <c r="AB220" s="106">
        <f t="shared" si="38"/>
        <v>3730.8369863013695</v>
      </c>
      <c r="AC220" s="102">
        <f t="shared" si="39"/>
        <v>0.5999999656325989</v>
      </c>
      <c r="AD220" s="113">
        <f t="shared" si="40"/>
        <v>17772.856296646198</v>
      </c>
      <c r="AE220" s="52">
        <f t="shared" si="41"/>
        <v>4.050210966045953</v>
      </c>
    </row>
    <row r="221" spans="2:31" s="27" customFormat="1" ht="12.75">
      <c r="B221" s="80">
        <v>218</v>
      </c>
      <c r="C221" s="35" t="s">
        <v>206</v>
      </c>
      <c r="D221" s="5" t="s">
        <v>289</v>
      </c>
      <c r="E221" s="39" t="s">
        <v>207</v>
      </c>
      <c r="F221" s="61">
        <v>101</v>
      </c>
      <c r="G221" s="4" t="s">
        <v>208</v>
      </c>
      <c r="H221" s="14">
        <f>27/13920</f>
        <v>0.001939655172413793</v>
      </c>
      <c r="I221" s="10">
        <f>H221*204639</f>
        <v>396.9290948275862</v>
      </c>
      <c r="J221" s="11">
        <v>1</v>
      </c>
      <c r="K221" s="4" t="s">
        <v>290</v>
      </c>
      <c r="L221" s="3">
        <f>270/139200</f>
        <v>0.001939655172413793</v>
      </c>
      <c r="M221" s="10">
        <f t="shared" si="44"/>
        <v>2071.3946120689657</v>
      </c>
      <c r="N221" s="89">
        <f t="shared" si="42"/>
        <v>2468.323706896552</v>
      </c>
      <c r="O221" s="90">
        <f t="shared" si="43"/>
        <v>0.5625000044202307</v>
      </c>
      <c r="P221" s="61"/>
      <c r="Q221" s="4"/>
      <c r="R221" s="3"/>
      <c r="S221" s="12"/>
      <c r="T221" s="11"/>
      <c r="U221" s="4"/>
      <c r="V221" s="3"/>
      <c r="W221" s="12"/>
      <c r="X221" s="11"/>
      <c r="Y221" s="4"/>
      <c r="Z221" s="3"/>
      <c r="AA221" s="13"/>
      <c r="AB221" s="106"/>
      <c r="AC221" s="102"/>
      <c r="AD221" s="113">
        <f t="shared" si="40"/>
        <v>2468.323706896552</v>
      </c>
      <c r="AE221" s="52">
        <f t="shared" si="41"/>
        <v>0.5625000044202307</v>
      </c>
    </row>
    <row r="222" spans="2:31" s="27" customFormat="1" ht="12.75">
      <c r="B222" s="80">
        <v>219</v>
      </c>
      <c r="C222" s="36" t="s">
        <v>350</v>
      </c>
      <c r="D222" s="24" t="s">
        <v>187</v>
      </c>
      <c r="E222" s="40" t="s">
        <v>351</v>
      </c>
      <c r="F222" s="60"/>
      <c r="G222" s="20"/>
      <c r="H222" s="21"/>
      <c r="I222" s="22"/>
      <c r="J222" s="23">
        <v>98</v>
      </c>
      <c r="K222" s="20" t="s">
        <v>63</v>
      </c>
      <c r="L222" s="24">
        <f>195/17400</f>
        <v>0.011206896551724138</v>
      </c>
      <c r="M222" s="22">
        <f t="shared" si="44"/>
        <v>11968.05775862069</v>
      </c>
      <c r="N222" s="89">
        <f t="shared" si="42"/>
        <v>11968.05775862069</v>
      </c>
      <c r="O222" s="90">
        <f t="shared" si="43"/>
        <v>2.7273702080955853</v>
      </c>
      <c r="P222" s="60"/>
      <c r="Q222" s="20"/>
      <c r="R222" s="24"/>
      <c r="S222" s="25"/>
      <c r="T222" s="23"/>
      <c r="U222" s="20"/>
      <c r="V222" s="24"/>
      <c r="W222" s="25"/>
      <c r="X222" s="23"/>
      <c r="Y222" s="20"/>
      <c r="Z222" s="24"/>
      <c r="AA222" s="26"/>
      <c r="AB222" s="106"/>
      <c r="AC222" s="102"/>
      <c r="AD222" s="113">
        <f t="shared" si="40"/>
        <v>11968.05775862069</v>
      </c>
      <c r="AE222" s="52">
        <f t="shared" si="41"/>
        <v>2.7273702080955853</v>
      </c>
    </row>
    <row r="223" spans="2:31" s="27" customFormat="1" ht="12.75">
      <c r="B223" s="80">
        <v>220</v>
      </c>
      <c r="C223" s="35" t="s">
        <v>599</v>
      </c>
      <c r="D223" s="3" t="s">
        <v>187</v>
      </c>
      <c r="E223" s="39" t="s">
        <v>188</v>
      </c>
      <c r="F223" s="61">
        <v>88</v>
      </c>
      <c r="G223" s="4" t="s">
        <v>34</v>
      </c>
      <c r="H223" s="3">
        <f>120/17400</f>
        <v>0.006896551724137931</v>
      </c>
      <c r="I223" s="10">
        <f>H223*204639</f>
        <v>1411.3034482758621</v>
      </c>
      <c r="J223" s="11">
        <v>99</v>
      </c>
      <c r="K223" s="4" t="s">
        <v>34</v>
      </c>
      <c r="L223" s="3">
        <f>120/17400</f>
        <v>0.006896551724137931</v>
      </c>
      <c r="M223" s="10">
        <f t="shared" si="44"/>
        <v>7364.958620689655</v>
      </c>
      <c r="N223" s="89">
        <f t="shared" si="42"/>
        <v>8776.262068965516</v>
      </c>
      <c r="O223" s="90">
        <f t="shared" si="43"/>
        <v>2.0000000157163758</v>
      </c>
      <c r="P223" s="61"/>
      <c r="Q223" s="4"/>
      <c r="R223" s="3"/>
      <c r="S223" s="12"/>
      <c r="T223" s="11"/>
      <c r="U223" s="4"/>
      <c r="V223" s="3"/>
      <c r="W223" s="12"/>
      <c r="X223" s="11"/>
      <c r="Y223" s="4"/>
      <c r="Z223" s="3"/>
      <c r="AA223" s="13"/>
      <c r="AB223" s="106"/>
      <c r="AC223" s="102"/>
      <c r="AD223" s="113">
        <f t="shared" si="40"/>
        <v>8776.262068965516</v>
      </c>
      <c r="AE223" s="52">
        <f t="shared" si="41"/>
        <v>2.0000000157163758</v>
      </c>
    </row>
    <row r="224" spans="2:31" s="27" customFormat="1" ht="12.75">
      <c r="B224" s="80">
        <v>221</v>
      </c>
      <c r="C224" s="35" t="s">
        <v>352</v>
      </c>
      <c r="D224" s="3" t="s">
        <v>602</v>
      </c>
      <c r="E224" s="39" t="s">
        <v>189</v>
      </c>
      <c r="F224" s="61">
        <v>89</v>
      </c>
      <c r="G224" s="4" t="s">
        <v>19</v>
      </c>
      <c r="H224" s="3">
        <f>90/17400</f>
        <v>0.005172413793103448</v>
      </c>
      <c r="I224" s="10">
        <f>H224*204639</f>
        <v>1058.4775862068966</v>
      </c>
      <c r="J224" s="11">
        <v>100</v>
      </c>
      <c r="K224" s="4" t="s">
        <v>19</v>
      </c>
      <c r="L224" s="3">
        <f>90/17400</f>
        <v>0.005172413793103448</v>
      </c>
      <c r="M224" s="10">
        <f t="shared" si="44"/>
        <v>5523.7189655172415</v>
      </c>
      <c r="N224" s="89">
        <f t="shared" si="42"/>
        <v>6582.196551724138</v>
      </c>
      <c r="O224" s="90">
        <f t="shared" si="43"/>
        <v>1.500000011787282</v>
      </c>
      <c r="P224" s="61">
        <v>85</v>
      </c>
      <c r="Q224" s="4" t="s">
        <v>356</v>
      </c>
      <c r="R224" s="3">
        <f>4/584</f>
        <v>0.00684931506849315</v>
      </c>
      <c r="S224" s="12">
        <f>R224*550774</f>
        <v>3772.4246575342463</v>
      </c>
      <c r="T224" s="11">
        <v>76</v>
      </c>
      <c r="U224" s="4" t="s">
        <v>524</v>
      </c>
      <c r="V224" s="3">
        <f>4/854</f>
        <v>0.00468384074941452</v>
      </c>
      <c r="W224" s="12">
        <f>V224*202</f>
        <v>0.9461358313817331</v>
      </c>
      <c r="X224" s="11">
        <v>58</v>
      </c>
      <c r="Y224" s="4" t="s">
        <v>356</v>
      </c>
      <c r="Z224" s="3">
        <f>4/584</f>
        <v>0.00684931506849315</v>
      </c>
      <c r="AA224" s="13">
        <f>Z224*356861</f>
        <v>2444.253424657534</v>
      </c>
      <c r="AB224" s="106">
        <f t="shared" si="38"/>
        <v>6217.624218023162</v>
      </c>
      <c r="AC224" s="102">
        <f t="shared" si="39"/>
        <v>0.999929595109081</v>
      </c>
      <c r="AD224" s="113">
        <f t="shared" si="40"/>
        <v>12799.8207697473</v>
      </c>
      <c r="AE224" s="52">
        <f t="shared" si="41"/>
        <v>2.916918562765628</v>
      </c>
    </row>
    <row r="225" spans="2:31" s="27" customFormat="1" ht="12.75">
      <c r="B225" s="80">
        <v>222</v>
      </c>
      <c r="C225" s="35" t="s">
        <v>246</v>
      </c>
      <c r="D225" s="3" t="s">
        <v>247</v>
      </c>
      <c r="E225" s="39" t="s">
        <v>248</v>
      </c>
      <c r="F225" s="61">
        <v>116</v>
      </c>
      <c r="G225" s="4" t="s">
        <v>242</v>
      </c>
      <c r="H225" s="14">
        <f>435/69600</f>
        <v>0.00625</v>
      </c>
      <c r="I225" s="10">
        <f>H225*204639</f>
        <v>1278.99375</v>
      </c>
      <c r="J225" s="11"/>
      <c r="K225" s="4"/>
      <c r="L225" s="3"/>
      <c r="M225" s="10"/>
      <c r="N225" s="89">
        <f t="shared" si="42"/>
        <v>1278.99375</v>
      </c>
      <c r="O225" s="90">
        <f t="shared" si="43"/>
        <v>0.2914666289588893</v>
      </c>
      <c r="P225" s="61">
        <v>64</v>
      </c>
      <c r="Q225" s="4" t="s">
        <v>387</v>
      </c>
      <c r="R225" s="3">
        <f>70/11680</f>
        <v>0.0059931506849315065</v>
      </c>
      <c r="S225" s="12">
        <f>R225*550774</f>
        <v>3300.8715753424653</v>
      </c>
      <c r="T225" s="11">
        <v>56</v>
      </c>
      <c r="U225" s="4" t="s">
        <v>387</v>
      </c>
      <c r="V225" s="3">
        <f>70/11680</f>
        <v>0.0059931506849315065</v>
      </c>
      <c r="W225" s="12">
        <f>V225*202</f>
        <v>1.2106164383561644</v>
      </c>
      <c r="X225" s="11">
        <v>38</v>
      </c>
      <c r="Y225" s="4" t="s">
        <v>387</v>
      </c>
      <c r="Z225" s="3">
        <f>70/11680</f>
        <v>0.0059931506849315065</v>
      </c>
      <c r="AA225" s="13">
        <f>Z225*356861</f>
        <v>2138.7217465753424</v>
      </c>
      <c r="AB225" s="106">
        <f t="shared" si="38"/>
        <v>5440.8039383561645</v>
      </c>
      <c r="AC225" s="102">
        <f t="shared" si="39"/>
        <v>0.8749999498808736</v>
      </c>
      <c r="AD225" s="113">
        <f t="shared" si="40"/>
        <v>6719.797688356164</v>
      </c>
      <c r="AE225" s="52">
        <f t="shared" si="41"/>
        <v>1.5313575844376943</v>
      </c>
    </row>
    <row r="226" spans="2:31" s="27" customFormat="1" ht="12.75">
      <c r="B226" s="80">
        <v>223</v>
      </c>
      <c r="C226" s="35" t="s">
        <v>190</v>
      </c>
      <c r="D226" s="5" t="s">
        <v>191</v>
      </c>
      <c r="E226" s="39" t="s">
        <v>192</v>
      </c>
      <c r="F226" s="61">
        <v>91</v>
      </c>
      <c r="G226" s="4" t="s">
        <v>108</v>
      </c>
      <c r="H226" s="14">
        <f>36/17400</f>
        <v>0.0020689655172413794</v>
      </c>
      <c r="I226" s="10">
        <f>H226*204639</f>
        <v>423.39103448275864</v>
      </c>
      <c r="J226" s="11">
        <v>101</v>
      </c>
      <c r="K226" s="4" t="s">
        <v>108</v>
      </c>
      <c r="L226" s="3">
        <f>36/17400</f>
        <v>0.0020689655172413794</v>
      </c>
      <c r="M226" s="10">
        <f>L226*1067919</f>
        <v>2209.4875862068966</v>
      </c>
      <c r="N226" s="89">
        <f t="shared" si="42"/>
        <v>2632.8786206896552</v>
      </c>
      <c r="O226" s="90">
        <f t="shared" si="43"/>
        <v>0.6000000047149128</v>
      </c>
      <c r="P226" s="61">
        <v>51</v>
      </c>
      <c r="Q226" s="4" t="s">
        <v>383</v>
      </c>
      <c r="R226" s="3">
        <f>12/5840</f>
        <v>0.002054794520547945</v>
      </c>
      <c r="S226" s="12">
        <f>R226*550774</f>
        <v>1131.7273972602738</v>
      </c>
      <c r="T226" s="11">
        <v>44</v>
      </c>
      <c r="U226" s="4" t="s">
        <v>383</v>
      </c>
      <c r="V226" s="3">
        <f>12/5840</f>
        <v>0.002054794520547945</v>
      </c>
      <c r="W226" s="12">
        <f>V226*202</f>
        <v>0.4150684931506849</v>
      </c>
      <c r="X226" s="11">
        <v>27</v>
      </c>
      <c r="Y226" s="4" t="s">
        <v>383</v>
      </c>
      <c r="Z226" s="3">
        <f>12/5840</f>
        <v>0.002054794520547945</v>
      </c>
      <c r="AA226" s="13">
        <f>Z226*356861</f>
        <v>733.2760273972602</v>
      </c>
      <c r="AB226" s="106">
        <f t="shared" si="38"/>
        <v>1865.4184931506848</v>
      </c>
      <c r="AC226" s="102">
        <f t="shared" si="39"/>
        <v>0.29999998281629947</v>
      </c>
      <c r="AD226" s="113">
        <f t="shared" si="40"/>
        <v>4498.29711384034</v>
      </c>
      <c r="AE226" s="52">
        <f t="shared" si="41"/>
        <v>1.0251054751647888</v>
      </c>
    </row>
    <row r="227" spans="2:31" s="27" customFormat="1" ht="12.75">
      <c r="B227" s="80">
        <v>224</v>
      </c>
      <c r="C227" s="35" t="s">
        <v>218</v>
      </c>
      <c r="D227" s="3" t="s">
        <v>219</v>
      </c>
      <c r="E227" s="39" t="s">
        <v>220</v>
      </c>
      <c r="F227" s="61">
        <v>105</v>
      </c>
      <c r="G227" s="4" t="s">
        <v>19</v>
      </c>
      <c r="H227" s="14">
        <f>90/17400</f>
        <v>0.005172413793103448</v>
      </c>
      <c r="I227" s="10">
        <f>H227*204639</f>
        <v>1058.4775862068966</v>
      </c>
      <c r="J227" s="11"/>
      <c r="K227" s="4"/>
      <c r="L227" s="3"/>
      <c r="M227" s="10"/>
      <c r="N227" s="89">
        <f t="shared" si="42"/>
        <v>1058.4775862068966</v>
      </c>
      <c r="O227" s="90">
        <f t="shared" si="43"/>
        <v>0.24121376189701185</v>
      </c>
      <c r="P227" s="61">
        <v>184</v>
      </c>
      <c r="Q227" s="4" t="s">
        <v>455</v>
      </c>
      <c r="R227" s="3">
        <f>60/17520</f>
        <v>0.003424657534246575</v>
      </c>
      <c r="S227" s="12">
        <f>R227*550774</f>
        <v>1886.2123287671232</v>
      </c>
      <c r="T227" s="11">
        <v>171</v>
      </c>
      <c r="U227" s="4" t="s">
        <v>455</v>
      </c>
      <c r="V227" s="3">
        <f>60/17520</f>
        <v>0.003424657534246575</v>
      </c>
      <c r="W227" s="12">
        <f>V227*202</f>
        <v>0.6917808219178082</v>
      </c>
      <c r="X227" s="11">
        <v>144</v>
      </c>
      <c r="Y227" s="4" t="s">
        <v>455</v>
      </c>
      <c r="Z227" s="3">
        <f>60/17520</f>
        <v>0.003424657534246575</v>
      </c>
      <c r="AA227" s="13">
        <f>Z227*356861</f>
        <v>1222.126712328767</v>
      </c>
      <c r="AB227" s="106">
        <f t="shared" si="38"/>
        <v>3109.0308219178078</v>
      </c>
      <c r="AC227" s="102">
        <f t="shared" si="39"/>
        <v>0.4999999713604991</v>
      </c>
      <c r="AD227" s="113">
        <f t="shared" si="40"/>
        <v>4167.508408124704</v>
      </c>
      <c r="AE227" s="52">
        <f t="shared" si="41"/>
        <v>0.9497228793134717</v>
      </c>
    </row>
    <row r="228" spans="2:31" s="27" customFormat="1" ht="12.75">
      <c r="B228" s="80">
        <v>225</v>
      </c>
      <c r="C228" s="2" t="s">
        <v>606</v>
      </c>
      <c r="D228" s="3" t="s">
        <v>327</v>
      </c>
      <c r="E228" s="112" t="s">
        <v>354</v>
      </c>
      <c r="F228" s="60"/>
      <c r="G228" s="20"/>
      <c r="H228" s="21"/>
      <c r="I228" s="25"/>
      <c r="J228" s="60">
        <v>103</v>
      </c>
      <c r="K228" s="20" t="s">
        <v>19</v>
      </c>
      <c r="L228" s="24">
        <f>90/17400</f>
        <v>0.005172413793103448</v>
      </c>
      <c r="M228" s="22">
        <f>L228*1067919</f>
        <v>5523.7189655172415</v>
      </c>
      <c r="N228" s="89">
        <f t="shared" si="42"/>
        <v>5523.7189655172415</v>
      </c>
      <c r="O228" s="90">
        <f t="shared" si="43"/>
        <v>1.2587862498902702</v>
      </c>
      <c r="P228" s="60"/>
      <c r="Q228" s="20"/>
      <c r="R228" s="24"/>
      <c r="S228" s="25"/>
      <c r="T228" s="23"/>
      <c r="U228" s="20"/>
      <c r="V228" s="24"/>
      <c r="W228" s="25"/>
      <c r="X228" s="23"/>
      <c r="Y228" s="20"/>
      <c r="Z228" s="24"/>
      <c r="AA228" s="26"/>
      <c r="AB228" s="106"/>
      <c r="AC228" s="102"/>
      <c r="AD228" s="113">
        <f t="shared" si="40"/>
        <v>5523.7189655172415</v>
      </c>
      <c r="AE228" s="52">
        <f t="shared" si="41"/>
        <v>1.2587862498902702</v>
      </c>
    </row>
    <row r="229" spans="2:31" s="27" customFormat="1" ht="13.5" thickBot="1">
      <c r="B229" s="84">
        <v>226</v>
      </c>
      <c r="C229" s="78" t="s">
        <v>600</v>
      </c>
      <c r="D229" s="38" t="s">
        <v>288</v>
      </c>
      <c r="E229" s="43" t="s">
        <v>353</v>
      </c>
      <c r="F229" s="50"/>
      <c r="G229" s="8"/>
      <c r="H229" s="15"/>
      <c r="I229" s="18"/>
      <c r="J229" s="50">
        <v>102</v>
      </c>
      <c r="K229" s="8" t="s">
        <v>34</v>
      </c>
      <c r="L229" s="7">
        <f>120/17400</f>
        <v>0.006896551724137931</v>
      </c>
      <c r="M229" s="16">
        <f>L229*1067919</f>
        <v>7364.958620689655</v>
      </c>
      <c r="N229" s="100">
        <f t="shared" si="42"/>
        <v>7364.958620689655</v>
      </c>
      <c r="O229" s="91">
        <f t="shared" si="43"/>
        <v>1.6783816665203601</v>
      </c>
      <c r="P229" s="50"/>
      <c r="Q229" s="8"/>
      <c r="R229" s="7"/>
      <c r="S229" s="18"/>
      <c r="T229" s="17"/>
      <c r="U229" s="8"/>
      <c r="V229" s="7"/>
      <c r="W229" s="18"/>
      <c r="X229" s="17"/>
      <c r="Y229" s="8"/>
      <c r="Z229" s="7"/>
      <c r="AA229" s="19"/>
      <c r="AB229" s="108"/>
      <c r="AC229" s="104"/>
      <c r="AD229" s="113">
        <f t="shared" si="40"/>
        <v>7364.958620689655</v>
      </c>
      <c r="AE229" s="52">
        <f t="shared" si="41"/>
        <v>1.6783816665203601</v>
      </c>
    </row>
    <row r="230" spans="1:31" s="27" customFormat="1" ht="13.5" thickBot="1">
      <c r="A230" s="9"/>
      <c r="B230" s="9"/>
      <c r="C230" s="9"/>
      <c r="D230" s="9"/>
      <c r="E230" s="30"/>
      <c r="F230" s="9"/>
      <c r="G230" s="28"/>
      <c r="H230" s="76">
        <f>SUM(H9:H229)</f>
        <v>1.0000195402298855</v>
      </c>
      <c r="I230" s="45">
        <f>SUM(I9:I229)</f>
        <v>204642.99869310338</v>
      </c>
      <c r="J230" s="9"/>
      <c r="K230" s="9"/>
      <c r="L230" s="76">
        <f>SUM(L9:L229)</f>
        <v>1.0000000000000004</v>
      </c>
      <c r="M230" s="45">
        <f>SUM(M9:M229)</f>
        <v>1067919.0000000005</v>
      </c>
      <c r="N230" s="98">
        <f>SUM(N9:N229)</f>
        <v>1272561.998693103</v>
      </c>
      <c r="O230" s="88">
        <f>SUM(O9:O229)</f>
        <v>290.0009135308638</v>
      </c>
      <c r="P230" s="9"/>
      <c r="Q230" s="28"/>
      <c r="R230" s="45">
        <f>SUM(R9:R229)</f>
        <v>1.0000109589041108</v>
      </c>
      <c r="S230" s="45">
        <f>SUM(S9:S229)</f>
        <v>550780.035879452</v>
      </c>
      <c r="T230" s="29"/>
      <c r="U230" s="30"/>
      <c r="V230" s="45">
        <f>SUM(V9:V229)</f>
        <v>0.9977731243117087</v>
      </c>
      <c r="W230" s="45">
        <f>SUM(W9:W229)</f>
        <v>201.55017111096487</v>
      </c>
      <c r="X230" s="9"/>
      <c r="Y230" s="28"/>
      <c r="Z230" s="45">
        <f aca="true" t="shared" si="45" ref="Z230:AE230">SUM(Z9:Z229)</f>
        <v>0.9279109589041107</v>
      </c>
      <c r="AA230" s="76">
        <f t="shared" si="45"/>
        <v>331135.23270547925</v>
      </c>
      <c r="AB230" s="99">
        <f t="shared" si="45"/>
        <v>882116.8187560426</v>
      </c>
      <c r="AC230" s="76">
        <f t="shared" si="45"/>
        <v>141.86362547624046</v>
      </c>
      <c r="AD230" s="115">
        <f t="shared" si="45"/>
        <v>2154678.817449145</v>
      </c>
      <c r="AE230" s="75">
        <f t="shared" si="45"/>
        <v>491.0242692046218</v>
      </c>
    </row>
    <row r="231" spans="1:31" s="27" customFormat="1" ht="12.75">
      <c r="A231" s="9"/>
      <c r="B231" s="9"/>
      <c r="C231" s="9"/>
      <c r="D231" s="9"/>
      <c r="E231" s="30"/>
      <c r="F231" s="9"/>
      <c r="G231" s="28"/>
      <c r="H231" s="9"/>
      <c r="I231" s="9"/>
      <c r="J231" s="9"/>
      <c r="K231" s="9"/>
      <c r="L231" s="9"/>
      <c r="M231" s="9"/>
      <c r="N231" s="9"/>
      <c r="O231" s="9"/>
      <c r="P231" s="9"/>
      <c r="Q231" s="28"/>
      <c r="R231" s="9"/>
      <c r="S231" s="9"/>
      <c r="T231" s="29"/>
      <c r="U231" s="30"/>
      <c r="V231" s="9"/>
      <c r="W231" s="9"/>
      <c r="X231" s="9"/>
      <c r="Y231" s="28"/>
      <c r="Z231" s="9"/>
      <c r="AA231" s="9"/>
      <c r="AB231" s="9"/>
      <c r="AC231" s="9"/>
      <c r="AE231" s="46"/>
    </row>
    <row r="232" spans="1:31" s="27" customFormat="1" ht="12.75">
      <c r="A232" s="9"/>
      <c r="B232" s="9"/>
      <c r="C232" s="9"/>
      <c r="D232" s="9"/>
      <c r="E232" s="30"/>
      <c r="F232" s="9"/>
      <c r="G232" s="28"/>
      <c r="H232" s="9"/>
      <c r="I232" s="9">
        <v>204639</v>
      </c>
      <c r="J232" s="9"/>
      <c r="K232" s="9"/>
      <c r="L232" s="9"/>
      <c r="M232" s="9">
        <v>1067919</v>
      </c>
      <c r="N232" s="9"/>
      <c r="O232" s="29">
        <v>290</v>
      </c>
      <c r="P232" s="9"/>
      <c r="Q232" s="28"/>
      <c r="R232" s="9"/>
      <c r="S232" s="9">
        <v>550774</v>
      </c>
      <c r="T232" s="29"/>
      <c r="U232" s="30"/>
      <c r="V232" s="9"/>
      <c r="W232" s="9">
        <v>202</v>
      </c>
      <c r="X232" s="9"/>
      <c r="Y232" s="28"/>
      <c r="Z232" s="9"/>
      <c r="AA232" s="9">
        <v>356861</v>
      </c>
      <c r="AB232" s="9"/>
      <c r="AC232" s="9">
        <v>146</v>
      </c>
      <c r="AD232" s="27">
        <f>I232+M232+S232+W232+AA232</f>
        <v>2180395</v>
      </c>
      <c r="AE232" s="111">
        <v>496.885</v>
      </c>
    </row>
    <row r="233" spans="1:31" s="27" customFormat="1" ht="12.75">
      <c r="A233" s="9"/>
      <c r="B233" s="9"/>
      <c r="C233" s="9"/>
      <c r="D233" s="9"/>
      <c r="E233" s="30"/>
      <c r="F233" s="9"/>
      <c r="G233" s="28"/>
      <c r="H233" s="9"/>
      <c r="I233" s="9"/>
      <c r="J233" s="9"/>
      <c r="K233" s="9"/>
      <c r="L233" s="9"/>
      <c r="M233" s="9"/>
      <c r="N233" s="9"/>
      <c r="O233" s="9"/>
      <c r="P233" s="9"/>
      <c r="Q233" s="28"/>
      <c r="R233" s="9"/>
      <c r="S233" s="9"/>
      <c r="T233" s="29"/>
      <c r="U233" s="30"/>
      <c r="V233" s="9"/>
      <c r="W233" s="9"/>
      <c r="X233" s="9"/>
      <c r="Y233" s="28"/>
      <c r="Z233" s="9"/>
      <c r="AA233" s="9"/>
      <c r="AB233" s="9"/>
      <c r="AC233" s="9"/>
      <c r="AE233" s="46"/>
    </row>
    <row r="234" spans="1:31" s="27" customFormat="1" ht="12.75">
      <c r="A234" s="9"/>
      <c r="B234" s="9"/>
      <c r="C234" s="9"/>
      <c r="D234" s="9"/>
      <c r="E234" s="30"/>
      <c r="F234" s="9"/>
      <c r="G234" s="28"/>
      <c r="H234" s="9"/>
      <c r="I234" s="9"/>
      <c r="J234" s="9"/>
      <c r="K234" s="9"/>
      <c r="L234" s="9"/>
      <c r="M234" s="9"/>
      <c r="N234" s="9"/>
      <c r="O234" s="9"/>
      <c r="P234" s="9"/>
      <c r="Q234" s="28"/>
      <c r="R234" s="9"/>
      <c r="S234" s="9"/>
      <c r="T234" s="29"/>
      <c r="U234" s="30"/>
      <c r="V234" s="9"/>
      <c r="W234" s="9"/>
      <c r="X234" s="9"/>
      <c r="Y234" s="28"/>
      <c r="Z234" s="9"/>
      <c r="AA234" s="9"/>
      <c r="AB234" s="9"/>
      <c r="AC234" s="9"/>
      <c r="AE234" s="46"/>
    </row>
    <row r="235" spans="1:31" s="27" customFormat="1" ht="12.75">
      <c r="A235" s="9"/>
      <c r="B235" s="9"/>
      <c r="C235" s="9"/>
      <c r="D235" s="9"/>
      <c r="E235" s="30"/>
      <c r="F235" s="9"/>
      <c r="G235" s="28"/>
      <c r="H235" s="9"/>
      <c r="I235" s="9"/>
      <c r="J235" s="9"/>
      <c r="K235" s="9"/>
      <c r="L235" s="9"/>
      <c r="M235" s="9"/>
      <c r="N235" s="9"/>
      <c r="O235" s="9"/>
      <c r="P235" s="9"/>
      <c r="Q235" s="28"/>
      <c r="R235" s="9"/>
      <c r="S235" s="9"/>
      <c r="T235" s="29"/>
      <c r="U235" s="30"/>
      <c r="V235" s="9"/>
      <c r="W235" s="9"/>
      <c r="X235" s="9"/>
      <c r="Y235" s="28"/>
      <c r="Z235" s="9"/>
      <c r="AA235" s="9"/>
      <c r="AB235" s="9"/>
      <c r="AC235" s="9"/>
      <c r="AE235" s="46"/>
    </row>
    <row r="236" spans="1:31" s="27" customFormat="1" ht="12.75">
      <c r="A236" s="9"/>
      <c r="B236" s="9"/>
      <c r="C236" s="9"/>
      <c r="D236" s="9"/>
      <c r="E236" s="30"/>
      <c r="F236" s="9"/>
      <c r="G236" s="28"/>
      <c r="H236" s="9"/>
      <c r="I236" s="9"/>
      <c r="J236" s="9"/>
      <c r="K236" s="9"/>
      <c r="L236" s="9"/>
      <c r="M236" s="9"/>
      <c r="N236" s="9"/>
      <c r="O236" s="9"/>
      <c r="P236" s="9"/>
      <c r="Q236" s="28"/>
      <c r="R236" s="9"/>
      <c r="S236" s="9"/>
      <c r="T236" s="29"/>
      <c r="U236" s="30"/>
      <c r="V236" s="9"/>
      <c r="W236" s="9"/>
      <c r="X236" s="9"/>
      <c r="Y236" s="28"/>
      <c r="Z236" s="9"/>
      <c r="AA236" s="9"/>
      <c r="AB236" s="9"/>
      <c r="AC236" s="9"/>
      <c r="AE236" s="46"/>
    </row>
    <row r="237" spans="1:31" s="27" customFormat="1" ht="12.75">
      <c r="A237" s="9"/>
      <c r="B237" s="9"/>
      <c r="C237" s="9"/>
      <c r="D237" s="9"/>
      <c r="E237" s="30"/>
      <c r="F237" s="9"/>
      <c r="G237" s="28"/>
      <c r="H237" s="9"/>
      <c r="I237" s="9"/>
      <c r="J237" s="9"/>
      <c r="K237" s="9"/>
      <c r="L237" s="9"/>
      <c r="M237" s="9"/>
      <c r="N237" s="9"/>
      <c r="O237" s="9"/>
      <c r="P237" s="9"/>
      <c r="Q237" s="28"/>
      <c r="R237" s="9"/>
      <c r="S237" s="9"/>
      <c r="T237" s="29"/>
      <c r="U237" s="30"/>
      <c r="V237" s="9"/>
      <c r="W237" s="9"/>
      <c r="X237" s="9"/>
      <c r="Y237" s="28"/>
      <c r="Z237" s="9"/>
      <c r="AA237" s="9"/>
      <c r="AB237" s="9"/>
      <c r="AC237" s="9"/>
      <c r="AE237" s="46"/>
    </row>
    <row r="238" spans="1:31" s="27" customFormat="1" ht="12.75">
      <c r="A238" s="9"/>
      <c r="B238" s="9"/>
      <c r="C238" s="9"/>
      <c r="D238" s="9"/>
      <c r="E238" s="30"/>
      <c r="F238" s="9"/>
      <c r="G238" s="28"/>
      <c r="H238" s="9"/>
      <c r="I238" s="9"/>
      <c r="J238" s="9"/>
      <c r="K238" s="9"/>
      <c r="L238" s="9"/>
      <c r="M238" s="9"/>
      <c r="N238" s="9"/>
      <c r="O238" s="9"/>
      <c r="P238" s="9"/>
      <c r="Q238" s="28"/>
      <c r="R238" s="9"/>
      <c r="S238" s="9"/>
      <c r="T238" s="29"/>
      <c r="U238" s="30"/>
      <c r="V238" s="9"/>
      <c r="W238" s="9"/>
      <c r="X238" s="9"/>
      <c r="Y238" s="28"/>
      <c r="Z238" s="9"/>
      <c r="AA238" s="9"/>
      <c r="AB238" s="9"/>
      <c r="AC238" s="9"/>
      <c r="AE238" s="46"/>
    </row>
    <row r="239" spans="1:31" s="27" customFormat="1" ht="12.75">
      <c r="A239" s="9"/>
      <c r="B239" s="9"/>
      <c r="C239" s="9"/>
      <c r="D239" s="9"/>
      <c r="E239" s="30"/>
      <c r="F239" s="9"/>
      <c r="G239" s="28"/>
      <c r="H239" s="9"/>
      <c r="I239" s="9"/>
      <c r="J239" s="9"/>
      <c r="K239" s="9"/>
      <c r="L239" s="9"/>
      <c r="M239" s="9"/>
      <c r="N239" s="9"/>
      <c r="O239" s="9"/>
      <c r="P239" s="9"/>
      <c r="Q239" s="28"/>
      <c r="R239" s="9"/>
      <c r="S239" s="9"/>
      <c r="T239" s="29"/>
      <c r="U239" s="30"/>
      <c r="V239" s="9"/>
      <c r="W239" s="9"/>
      <c r="X239" s="9"/>
      <c r="Y239" s="28"/>
      <c r="Z239" s="9"/>
      <c r="AA239" s="9"/>
      <c r="AB239" s="9"/>
      <c r="AC239" s="9"/>
      <c r="AE239" s="46"/>
    </row>
    <row r="240" spans="1:31" s="27" customFormat="1" ht="12.75">
      <c r="A240" s="9"/>
      <c r="B240" s="9"/>
      <c r="C240" s="9"/>
      <c r="D240" s="9"/>
      <c r="E240" s="30"/>
      <c r="F240" s="9"/>
      <c r="G240" s="28"/>
      <c r="H240" s="9"/>
      <c r="I240" s="9"/>
      <c r="J240" s="9"/>
      <c r="K240" s="9"/>
      <c r="L240" s="9"/>
      <c r="M240" s="9"/>
      <c r="N240" s="9"/>
      <c r="O240" s="9"/>
      <c r="P240" s="9"/>
      <c r="Q240" s="28"/>
      <c r="R240" s="9"/>
      <c r="S240" s="9"/>
      <c r="T240" s="29"/>
      <c r="U240" s="30"/>
      <c r="V240" s="9"/>
      <c r="W240" s="9"/>
      <c r="X240" s="9"/>
      <c r="Y240" s="28"/>
      <c r="Z240" s="9"/>
      <c r="AA240" s="9"/>
      <c r="AB240" s="9"/>
      <c r="AC240" s="9"/>
      <c r="AE240" s="46"/>
    </row>
    <row r="241" spans="1:31" s="27" customFormat="1" ht="12.75">
      <c r="A241" s="9"/>
      <c r="B241" s="9"/>
      <c r="C241" s="9"/>
      <c r="D241" s="9"/>
      <c r="E241" s="30"/>
      <c r="F241" s="9"/>
      <c r="G241" s="28"/>
      <c r="H241" s="9"/>
      <c r="I241" s="9"/>
      <c r="J241" s="9"/>
      <c r="K241" s="9"/>
      <c r="L241" s="9"/>
      <c r="M241" s="9"/>
      <c r="N241" s="9"/>
      <c r="O241" s="9"/>
      <c r="P241" s="9"/>
      <c r="Q241" s="28"/>
      <c r="R241" s="9"/>
      <c r="S241" s="9"/>
      <c r="T241" s="29"/>
      <c r="U241" s="30"/>
      <c r="V241" s="9"/>
      <c r="W241" s="9"/>
      <c r="X241" s="9"/>
      <c r="Y241" s="28"/>
      <c r="Z241" s="9"/>
      <c r="AA241" s="9"/>
      <c r="AB241" s="9"/>
      <c r="AC241" s="9"/>
      <c r="AE241" s="46"/>
    </row>
    <row r="242" spans="1:31" s="27" customFormat="1" ht="12.75">
      <c r="A242" s="9"/>
      <c r="B242" s="9"/>
      <c r="C242" s="9"/>
      <c r="D242" s="9"/>
      <c r="E242" s="30"/>
      <c r="F242" s="9"/>
      <c r="G242" s="28"/>
      <c r="H242" s="9"/>
      <c r="I242" s="9"/>
      <c r="J242" s="9"/>
      <c r="K242" s="9"/>
      <c r="L242" s="9"/>
      <c r="M242" s="9"/>
      <c r="N242" s="9"/>
      <c r="O242" s="9"/>
      <c r="P242" s="9"/>
      <c r="Q242" s="28"/>
      <c r="R242" s="9"/>
      <c r="S242" s="9"/>
      <c r="T242" s="29"/>
      <c r="U242" s="30"/>
      <c r="V242" s="9"/>
      <c r="W242" s="9"/>
      <c r="X242" s="9"/>
      <c r="Y242" s="28"/>
      <c r="Z242" s="9"/>
      <c r="AA242" s="9"/>
      <c r="AB242" s="9"/>
      <c r="AC242" s="9"/>
      <c r="AE242" s="46"/>
    </row>
    <row r="243" spans="1:31" s="27" customFormat="1" ht="12.75">
      <c r="A243" s="9"/>
      <c r="B243" s="9"/>
      <c r="C243" s="9"/>
      <c r="D243" s="9"/>
      <c r="E243" s="30"/>
      <c r="F243" s="9"/>
      <c r="G243" s="28"/>
      <c r="H243" s="9"/>
      <c r="I243" s="9"/>
      <c r="J243" s="9"/>
      <c r="K243" s="9"/>
      <c r="L243" s="9"/>
      <c r="M243" s="9"/>
      <c r="N243" s="9"/>
      <c r="O243" s="9"/>
      <c r="P243" s="9"/>
      <c r="Q243" s="28"/>
      <c r="R243" s="9"/>
      <c r="S243" s="9"/>
      <c r="T243" s="29"/>
      <c r="U243" s="30"/>
      <c r="V243" s="9"/>
      <c r="W243" s="9"/>
      <c r="X243" s="9"/>
      <c r="Y243" s="28"/>
      <c r="Z243" s="9"/>
      <c r="AA243" s="9"/>
      <c r="AB243" s="9"/>
      <c r="AC243" s="9"/>
      <c r="AE243" s="46"/>
    </row>
    <row r="244" spans="1:31" s="27" customFormat="1" ht="12.75">
      <c r="A244" s="9"/>
      <c r="B244" s="9"/>
      <c r="C244" s="9"/>
      <c r="D244" s="9"/>
      <c r="E244" s="30"/>
      <c r="F244" s="9"/>
      <c r="G244" s="28"/>
      <c r="H244" s="9"/>
      <c r="I244" s="9"/>
      <c r="J244" s="9"/>
      <c r="K244" s="9"/>
      <c r="L244" s="9"/>
      <c r="M244" s="9"/>
      <c r="N244" s="9"/>
      <c r="O244" s="9"/>
      <c r="P244" s="9"/>
      <c r="Q244" s="28"/>
      <c r="R244" s="9"/>
      <c r="S244" s="9"/>
      <c r="T244" s="29"/>
      <c r="U244" s="30"/>
      <c r="V244" s="9"/>
      <c r="W244" s="9"/>
      <c r="X244" s="9"/>
      <c r="Y244" s="28"/>
      <c r="Z244" s="9"/>
      <c r="AA244" s="9"/>
      <c r="AB244" s="9"/>
      <c r="AC244" s="9"/>
      <c r="AE244" s="46"/>
    </row>
    <row r="245" spans="1:31" s="27" customFormat="1" ht="12.75">
      <c r="A245" s="9"/>
      <c r="B245" s="9"/>
      <c r="C245" s="9"/>
      <c r="D245" s="9"/>
      <c r="E245" s="30"/>
      <c r="F245" s="9"/>
      <c r="G245" s="28"/>
      <c r="H245" s="9"/>
      <c r="I245" s="9"/>
      <c r="J245" s="9"/>
      <c r="K245" s="9"/>
      <c r="L245" s="9"/>
      <c r="M245" s="9"/>
      <c r="N245" s="9"/>
      <c r="O245" s="9"/>
      <c r="P245" s="9"/>
      <c r="Q245" s="28"/>
      <c r="R245" s="9"/>
      <c r="S245" s="9"/>
      <c r="T245" s="29"/>
      <c r="U245" s="30"/>
      <c r="V245" s="9"/>
      <c r="W245" s="9"/>
      <c r="X245" s="9"/>
      <c r="Y245" s="28"/>
      <c r="Z245" s="9"/>
      <c r="AA245" s="9"/>
      <c r="AB245" s="9"/>
      <c r="AC245" s="9"/>
      <c r="AE245" s="46"/>
    </row>
    <row r="246" spans="1:31" s="27" customFormat="1" ht="12.75">
      <c r="A246" s="9"/>
      <c r="B246" s="9"/>
      <c r="C246" s="9"/>
      <c r="D246" s="9"/>
      <c r="E246" s="30"/>
      <c r="F246" s="9"/>
      <c r="G246" s="28"/>
      <c r="H246" s="9"/>
      <c r="I246" s="9"/>
      <c r="J246" s="9"/>
      <c r="K246" s="9"/>
      <c r="L246" s="9"/>
      <c r="M246" s="9"/>
      <c r="N246" s="9"/>
      <c r="O246" s="9"/>
      <c r="P246" s="9"/>
      <c r="Q246" s="28"/>
      <c r="R246" s="9"/>
      <c r="S246" s="9"/>
      <c r="T246" s="29"/>
      <c r="U246" s="30"/>
      <c r="V246" s="9"/>
      <c r="W246" s="9"/>
      <c r="X246" s="9"/>
      <c r="Y246" s="28"/>
      <c r="Z246" s="9"/>
      <c r="AA246" s="9"/>
      <c r="AB246" s="9"/>
      <c r="AC246" s="9"/>
      <c r="AE246" s="46"/>
    </row>
    <row r="247" spans="1:31" s="27" customFormat="1" ht="12.75">
      <c r="A247" s="9"/>
      <c r="B247" s="9"/>
      <c r="C247" s="9"/>
      <c r="D247" s="9"/>
      <c r="E247" s="30"/>
      <c r="F247" s="9"/>
      <c r="G247" s="28"/>
      <c r="H247" s="9"/>
      <c r="I247" s="9"/>
      <c r="J247" s="9"/>
      <c r="K247" s="9"/>
      <c r="L247" s="9"/>
      <c r="M247" s="9"/>
      <c r="N247" s="9"/>
      <c r="O247" s="9"/>
      <c r="P247" s="9"/>
      <c r="Q247" s="28"/>
      <c r="R247" s="9"/>
      <c r="S247" s="9"/>
      <c r="T247" s="29"/>
      <c r="U247" s="30"/>
      <c r="V247" s="9"/>
      <c r="W247" s="9"/>
      <c r="X247" s="9"/>
      <c r="Y247" s="28"/>
      <c r="Z247" s="9"/>
      <c r="AA247" s="9"/>
      <c r="AB247" s="9"/>
      <c r="AC247" s="9"/>
      <c r="AE247" s="46"/>
    </row>
    <row r="248" spans="1:31" s="27" customFormat="1" ht="12.75">
      <c r="A248" s="9"/>
      <c r="B248" s="9"/>
      <c r="C248" s="9"/>
      <c r="D248" s="9"/>
      <c r="E248" s="30"/>
      <c r="F248" s="9"/>
      <c r="G248" s="28"/>
      <c r="H248" s="9"/>
      <c r="I248" s="9"/>
      <c r="J248" s="9"/>
      <c r="K248" s="9"/>
      <c r="L248" s="9"/>
      <c r="M248" s="9"/>
      <c r="N248" s="9"/>
      <c r="O248" s="9"/>
      <c r="P248" s="9"/>
      <c r="Q248" s="28"/>
      <c r="R248" s="9"/>
      <c r="S248" s="9"/>
      <c r="T248" s="29"/>
      <c r="U248" s="30"/>
      <c r="V248" s="9"/>
      <c r="W248" s="9"/>
      <c r="X248" s="9"/>
      <c r="Y248" s="28"/>
      <c r="Z248" s="9"/>
      <c r="AA248" s="9"/>
      <c r="AB248" s="9"/>
      <c r="AC248" s="9"/>
      <c r="AE248" s="46"/>
    </row>
    <row r="249" spans="1:31" s="27" customFormat="1" ht="12.75">
      <c r="A249" s="9"/>
      <c r="B249" s="9"/>
      <c r="C249" s="9"/>
      <c r="D249" s="9"/>
      <c r="E249" s="30"/>
      <c r="F249" s="9"/>
      <c r="G249" s="28"/>
      <c r="H249" s="9"/>
      <c r="I249" s="9"/>
      <c r="J249" s="9"/>
      <c r="K249" s="9"/>
      <c r="L249" s="9"/>
      <c r="M249" s="9"/>
      <c r="N249" s="9"/>
      <c r="O249" s="9"/>
      <c r="P249" s="9"/>
      <c r="Q249" s="28"/>
      <c r="R249" s="9"/>
      <c r="S249" s="9"/>
      <c r="T249" s="29"/>
      <c r="U249" s="30"/>
      <c r="V249" s="9"/>
      <c r="W249" s="9"/>
      <c r="X249" s="9"/>
      <c r="Y249" s="28"/>
      <c r="Z249" s="9"/>
      <c r="AA249" s="9"/>
      <c r="AB249" s="9"/>
      <c r="AC249" s="9"/>
      <c r="AE249" s="46"/>
    </row>
    <row r="250" spans="1:31" s="27" customFormat="1" ht="12.75">
      <c r="A250" s="9"/>
      <c r="B250" s="9"/>
      <c r="C250" s="9"/>
      <c r="D250" s="9"/>
      <c r="E250" s="30"/>
      <c r="F250" s="9"/>
      <c r="G250" s="28"/>
      <c r="H250" s="9"/>
      <c r="I250" s="9"/>
      <c r="J250" s="9"/>
      <c r="K250" s="9"/>
      <c r="L250" s="9"/>
      <c r="M250" s="9"/>
      <c r="N250" s="9"/>
      <c r="O250" s="9"/>
      <c r="P250" s="9"/>
      <c r="Q250" s="28"/>
      <c r="R250" s="9"/>
      <c r="S250" s="9"/>
      <c r="T250" s="29"/>
      <c r="U250" s="30"/>
      <c r="V250" s="9"/>
      <c r="W250" s="9"/>
      <c r="X250" s="9"/>
      <c r="Y250" s="28"/>
      <c r="Z250" s="9"/>
      <c r="AA250" s="9"/>
      <c r="AB250" s="9"/>
      <c r="AC250" s="9"/>
      <c r="AE250" s="46"/>
    </row>
    <row r="251" spans="1:31" s="27" customFormat="1" ht="12.75">
      <c r="A251" s="9"/>
      <c r="B251" s="9"/>
      <c r="C251" s="9"/>
      <c r="D251" s="9"/>
      <c r="E251" s="30"/>
      <c r="F251" s="9"/>
      <c r="G251" s="28"/>
      <c r="H251" s="9"/>
      <c r="I251" s="9"/>
      <c r="J251" s="9"/>
      <c r="K251" s="9"/>
      <c r="L251" s="9"/>
      <c r="M251" s="9"/>
      <c r="N251" s="9"/>
      <c r="O251" s="9"/>
      <c r="P251" s="9"/>
      <c r="Q251" s="28"/>
      <c r="R251" s="9"/>
      <c r="S251" s="9"/>
      <c r="T251" s="29"/>
      <c r="U251" s="30"/>
      <c r="V251" s="9"/>
      <c r="W251" s="9"/>
      <c r="X251" s="9"/>
      <c r="Y251" s="28"/>
      <c r="Z251" s="9"/>
      <c r="AA251" s="9"/>
      <c r="AB251" s="9"/>
      <c r="AC251" s="9"/>
      <c r="AE251" s="46"/>
    </row>
    <row r="252" spans="1:31" s="27" customFormat="1" ht="12.75">
      <c r="A252" s="9"/>
      <c r="B252" s="9"/>
      <c r="C252" s="9"/>
      <c r="D252" s="9"/>
      <c r="E252" s="30"/>
      <c r="F252" s="9"/>
      <c r="G252" s="28"/>
      <c r="H252" s="9"/>
      <c r="I252" s="9"/>
      <c r="J252" s="9"/>
      <c r="K252" s="9"/>
      <c r="L252" s="9"/>
      <c r="M252" s="9"/>
      <c r="N252" s="9"/>
      <c r="O252" s="9"/>
      <c r="P252" s="9"/>
      <c r="Q252" s="28"/>
      <c r="R252" s="9"/>
      <c r="S252" s="9"/>
      <c r="T252" s="29"/>
      <c r="U252" s="30"/>
      <c r="V252" s="9"/>
      <c r="W252" s="9"/>
      <c r="X252" s="9"/>
      <c r="Y252" s="28"/>
      <c r="Z252" s="9"/>
      <c r="AA252" s="9"/>
      <c r="AB252" s="9"/>
      <c r="AC252" s="9"/>
      <c r="AE252" s="46"/>
    </row>
    <row r="253" spans="1:31" s="27" customFormat="1" ht="12.75">
      <c r="A253" s="9"/>
      <c r="B253" s="9"/>
      <c r="C253" s="9"/>
      <c r="D253" s="9"/>
      <c r="E253" s="30"/>
      <c r="F253" s="9"/>
      <c r="G253" s="28"/>
      <c r="H253" s="9"/>
      <c r="I253" s="9"/>
      <c r="J253" s="9"/>
      <c r="K253" s="9"/>
      <c r="L253" s="9"/>
      <c r="M253" s="9"/>
      <c r="N253" s="9"/>
      <c r="O253" s="9"/>
      <c r="P253" s="9"/>
      <c r="Q253" s="28"/>
      <c r="R253" s="9"/>
      <c r="S253" s="9"/>
      <c r="T253" s="29"/>
      <c r="U253" s="30"/>
      <c r="V253" s="9"/>
      <c r="W253" s="9"/>
      <c r="X253" s="9"/>
      <c r="Y253" s="28"/>
      <c r="Z253" s="9"/>
      <c r="AA253" s="9"/>
      <c r="AB253" s="9"/>
      <c r="AC253" s="9"/>
      <c r="AE253" s="46"/>
    </row>
    <row r="254" spans="1:31" s="27" customFormat="1" ht="12.75">
      <c r="A254" s="9"/>
      <c r="B254" s="9"/>
      <c r="C254" s="9"/>
      <c r="D254" s="9"/>
      <c r="E254" s="30"/>
      <c r="F254" s="9"/>
      <c r="G254" s="28"/>
      <c r="H254" s="9"/>
      <c r="I254" s="9"/>
      <c r="J254" s="9"/>
      <c r="K254" s="9"/>
      <c r="L254" s="9"/>
      <c r="M254" s="9"/>
      <c r="N254" s="9"/>
      <c r="O254" s="9"/>
      <c r="P254" s="9"/>
      <c r="Q254" s="28"/>
      <c r="R254" s="9"/>
      <c r="S254" s="9"/>
      <c r="T254" s="29"/>
      <c r="U254" s="30"/>
      <c r="V254" s="9"/>
      <c r="W254" s="9"/>
      <c r="X254" s="9"/>
      <c r="Y254" s="28"/>
      <c r="Z254" s="9"/>
      <c r="AA254" s="9"/>
      <c r="AB254" s="9"/>
      <c r="AC254" s="9"/>
      <c r="AE254" s="46"/>
    </row>
    <row r="255" spans="1:31" s="27" customFormat="1" ht="12.75">
      <c r="A255" s="9"/>
      <c r="B255" s="9"/>
      <c r="C255" s="9"/>
      <c r="D255" s="9"/>
      <c r="E255" s="30"/>
      <c r="F255" s="9"/>
      <c r="G255" s="28"/>
      <c r="H255" s="9"/>
      <c r="I255" s="9"/>
      <c r="J255" s="9"/>
      <c r="K255" s="9"/>
      <c r="L255" s="9"/>
      <c r="M255" s="9"/>
      <c r="N255" s="9"/>
      <c r="O255" s="9"/>
      <c r="P255" s="9"/>
      <c r="Q255" s="28"/>
      <c r="R255" s="9"/>
      <c r="S255" s="9"/>
      <c r="T255" s="29"/>
      <c r="U255" s="30"/>
      <c r="V255" s="9"/>
      <c r="W255" s="9"/>
      <c r="X255" s="9"/>
      <c r="Y255" s="28"/>
      <c r="Z255" s="9"/>
      <c r="AA255" s="9"/>
      <c r="AB255" s="9"/>
      <c r="AC255" s="9"/>
      <c r="AE255" s="46"/>
    </row>
    <row r="256" spans="1:31" s="27" customFormat="1" ht="12.75">
      <c r="A256" s="9"/>
      <c r="B256" s="9"/>
      <c r="C256" s="9"/>
      <c r="D256" s="9"/>
      <c r="E256" s="30"/>
      <c r="F256" s="9"/>
      <c r="G256" s="28"/>
      <c r="H256" s="9"/>
      <c r="I256" s="9"/>
      <c r="J256" s="9"/>
      <c r="K256" s="9"/>
      <c r="L256" s="9"/>
      <c r="M256" s="9"/>
      <c r="N256" s="9"/>
      <c r="O256" s="9"/>
      <c r="P256" s="9"/>
      <c r="Q256" s="28"/>
      <c r="R256" s="9"/>
      <c r="S256" s="9"/>
      <c r="T256" s="29"/>
      <c r="U256" s="30"/>
      <c r="V256" s="9"/>
      <c r="W256" s="9"/>
      <c r="X256" s="9"/>
      <c r="Y256" s="28"/>
      <c r="Z256" s="9"/>
      <c r="AA256" s="9"/>
      <c r="AB256" s="9"/>
      <c r="AC256" s="9"/>
      <c r="AE256" s="46"/>
    </row>
    <row r="257" spans="1:31" s="27" customFormat="1" ht="12.75">
      <c r="A257" s="9"/>
      <c r="B257" s="9"/>
      <c r="C257" s="9"/>
      <c r="D257" s="9"/>
      <c r="E257" s="30"/>
      <c r="F257" s="9"/>
      <c r="G257" s="28"/>
      <c r="H257" s="9"/>
      <c r="I257" s="9"/>
      <c r="J257" s="9"/>
      <c r="K257" s="9"/>
      <c r="L257" s="9"/>
      <c r="M257" s="9"/>
      <c r="N257" s="9"/>
      <c r="O257" s="9"/>
      <c r="P257" s="9"/>
      <c r="Q257" s="28"/>
      <c r="R257" s="9"/>
      <c r="S257" s="9"/>
      <c r="T257" s="29"/>
      <c r="U257" s="30"/>
      <c r="V257" s="9"/>
      <c r="W257" s="9"/>
      <c r="X257" s="9"/>
      <c r="Y257" s="28"/>
      <c r="Z257" s="9"/>
      <c r="AA257" s="9"/>
      <c r="AB257" s="9"/>
      <c r="AC257" s="9"/>
      <c r="AE257" s="46"/>
    </row>
    <row r="258" spans="1:31" s="27" customFormat="1" ht="12.75">
      <c r="A258" s="9"/>
      <c r="B258" s="9"/>
      <c r="C258" s="9"/>
      <c r="D258" s="9"/>
      <c r="E258" s="30"/>
      <c r="F258" s="9"/>
      <c r="G258" s="28"/>
      <c r="H258" s="9"/>
      <c r="I258" s="9"/>
      <c r="J258" s="9"/>
      <c r="K258" s="9"/>
      <c r="L258" s="9"/>
      <c r="M258" s="9"/>
      <c r="N258" s="9"/>
      <c r="O258" s="9"/>
      <c r="P258" s="9"/>
      <c r="Q258" s="28"/>
      <c r="R258" s="9"/>
      <c r="S258" s="9"/>
      <c r="T258" s="29"/>
      <c r="U258" s="30"/>
      <c r="V258" s="9"/>
      <c r="W258" s="9"/>
      <c r="X258" s="9"/>
      <c r="Y258" s="28"/>
      <c r="Z258" s="9"/>
      <c r="AA258" s="9"/>
      <c r="AB258" s="9"/>
      <c r="AC258" s="9"/>
      <c r="AE258" s="46"/>
    </row>
    <row r="259" spans="1:31" s="27" customFormat="1" ht="12.75">
      <c r="A259" s="9"/>
      <c r="B259" s="9"/>
      <c r="C259" s="9"/>
      <c r="D259" s="9"/>
      <c r="E259" s="30"/>
      <c r="F259" s="9"/>
      <c r="G259" s="28"/>
      <c r="H259" s="9"/>
      <c r="I259" s="9"/>
      <c r="J259" s="9"/>
      <c r="K259" s="9"/>
      <c r="L259" s="9"/>
      <c r="M259" s="9"/>
      <c r="N259" s="9"/>
      <c r="O259" s="9"/>
      <c r="P259" s="9"/>
      <c r="Q259" s="28"/>
      <c r="R259" s="9"/>
      <c r="S259" s="9"/>
      <c r="T259" s="29"/>
      <c r="U259" s="30"/>
      <c r="V259" s="9"/>
      <c r="W259" s="9"/>
      <c r="X259" s="9"/>
      <c r="Y259" s="28"/>
      <c r="Z259" s="9"/>
      <c r="AA259" s="9"/>
      <c r="AB259" s="9"/>
      <c r="AC259" s="9"/>
      <c r="AE259" s="46"/>
    </row>
    <row r="260" spans="1:31" s="27" customFormat="1" ht="12.75">
      <c r="A260" s="9"/>
      <c r="B260" s="9"/>
      <c r="C260" s="9"/>
      <c r="D260" s="9"/>
      <c r="E260" s="30"/>
      <c r="F260" s="9"/>
      <c r="G260" s="28"/>
      <c r="H260" s="9"/>
      <c r="I260" s="9"/>
      <c r="J260" s="9"/>
      <c r="K260" s="9"/>
      <c r="L260" s="9"/>
      <c r="M260" s="9"/>
      <c r="N260" s="9"/>
      <c r="O260" s="9"/>
      <c r="P260" s="9"/>
      <c r="Q260" s="28"/>
      <c r="R260" s="9"/>
      <c r="S260" s="9"/>
      <c r="T260" s="29"/>
      <c r="U260" s="30"/>
      <c r="V260" s="9"/>
      <c r="W260" s="9"/>
      <c r="X260" s="9"/>
      <c r="Y260" s="28"/>
      <c r="Z260" s="9"/>
      <c r="AA260" s="9"/>
      <c r="AB260" s="9"/>
      <c r="AC260" s="9"/>
      <c r="AE260" s="46"/>
    </row>
    <row r="261" spans="1:31" s="27" customFormat="1" ht="12.75">
      <c r="A261" s="9"/>
      <c r="B261" s="9"/>
      <c r="C261" s="9"/>
      <c r="D261" s="9"/>
      <c r="E261" s="30"/>
      <c r="F261" s="9"/>
      <c r="G261" s="28"/>
      <c r="H261" s="9"/>
      <c r="I261" s="9"/>
      <c r="J261" s="9"/>
      <c r="K261" s="9"/>
      <c r="L261" s="9"/>
      <c r="M261" s="9"/>
      <c r="N261" s="9"/>
      <c r="O261" s="9"/>
      <c r="P261" s="9"/>
      <c r="Q261" s="28"/>
      <c r="R261" s="9"/>
      <c r="S261" s="9"/>
      <c r="T261" s="29"/>
      <c r="U261" s="30"/>
      <c r="V261" s="9"/>
      <c r="W261" s="9"/>
      <c r="X261" s="9"/>
      <c r="Y261" s="28"/>
      <c r="Z261" s="9"/>
      <c r="AA261" s="9"/>
      <c r="AB261" s="9"/>
      <c r="AC261" s="9"/>
      <c r="AE261" s="46"/>
    </row>
    <row r="262" spans="1:31" s="27" customFormat="1" ht="12.75">
      <c r="A262" s="9"/>
      <c r="B262" s="9"/>
      <c r="C262" s="9"/>
      <c r="D262" s="9"/>
      <c r="E262" s="30"/>
      <c r="F262" s="9"/>
      <c r="G262" s="28"/>
      <c r="H262" s="9"/>
      <c r="I262" s="9"/>
      <c r="J262" s="9"/>
      <c r="K262" s="9"/>
      <c r="L262" s="9"/>
      <c r="M262" s="9"/>
      <c r="N262" s="9"/>
      <c r="O262" s="9"/>
      <c r="P262" s="9"/>
      <c r="Q262" s="28"/>
      <c r="R262" s="9"/>
      <c r="S262" s="9"/>
      <c r="T262" s="29"/>
      <c r="U262" s="30"/>
      <c r="V262" s="9"/>
      <c r="W262" s="9"/>
      <c r="X262" s="9"/>
      <c r="Y262" s="28"/>
      <c r="Z262" s="9"/>
      <c r="AA262" s="9"/>
      <c r="AB262" s="9"/>
      <c r="AC262" s="9"/>
      <c r="AE262" s="46"/>
    </row>
    <row r="263" spans="1:31" s="27" customFormat="1" ht="12.75">
      <c r="A263" s="9"/>
      <c r="B263" s="9"/>
      <c r="C263" s="9"/>
      <c r="D263" s="9"/>
      <c r="E263" s="30"/>
      <c r="F263" s="9"/>
      <c r="G263" s="28"/>
      <c r="H263" s="9"/>
      <c r="I263" s="9"/>
      <c r="J263" s="9"/>
      <c r="K263" s="9"/>
      <c r="L263" s="9"/>
      <c r="M263" s="9"/>
      <c r="N263" s="9"/>
      <c r="O263" s="9"/>
      <c r="P263" s="9"/>
      <c r="Q263" s="28"/>
      <c r="R263" s="9"/>
      <c r="S263" s="9"/>
      <c r="T263" s="29"/>
      <c r="U263" s="30"/>
      <c r="V263" s="9"/>
      <c r="W263" s="9"/>
      <c r="X263" s="9"/>
      <c r="Y263" s="28"/>
      <c r="Z263" s="9"/>
      <c r="AA263" s="9"/>
      <c r="AB263" s="9"/>
      <c r="AC263" s="9"/>
      <c r="AE263" s="46"/>
    </row>
    <row r="264" spans="1:31" s="27" customFormat="1" ht="12.75">
      <c r="A264" s="9"/>
      <c r="B264" s="9"/>
      <c r="C264" s="9"/>
      <c r="D264" s="9"/>
      <c r="E264" s="30"/>
      <c r="F264" s="9"/>
      <c r="G264" s="28"/>
      <c r="H264" s="9"/>
      <c r="I264" s="9"/>
      <c r="J264" s="9"/>
      <c r="K264" s="9"/>
      <c r="L264" s="9"/>
      <c r="M264" s="9"/>
      <c r="N264" s="9"/>
      <c r="O264" s="9"/>
      <c r="P264" s="9"/>
      <c r="Q264" s="28"/>
      <c r="R264" s="9"/>
      <c r="S264" s="9"/>
      <c r="T264" s="29"/>
      <c r="U264" s="30"/>
      <c r="V264" s="9"/>
      <c r="W264" s="9"/>
      <c r="X264" s="9"/>
      <c r="Y264" s="28"/>
      <c r="Z264" s="9"/>
      <c r="AA264" s="9"/>
      <c r="AB264" s="9"/>
      <c r="AC264" s="9"/>
      <c r="AE264" s="46"/>
    </row>
    <row r="265" spans="1:31" s="27" customFormat="1" ht="12.75">
      <c r="A265" s="9"/>
      <c r="B265" s="9"/>
      <c r="C265" s="9"/>
      <c r="D265" s="9"/>
      <c r="E265" s="30"/>
      <c r="F265" s="9"/>
      <c r="G265" s="28"/>
      <c r="H265" s="9"/>
      <c r="I265" s="9"/>
      <c r="J265" s="9"/>
      <c r="K265" s="9"/>
      <c r="L265" s="9"/>
      <c r="M265" s="9"/>
      <c r="N265" s="9"/>
      <c r="O265" s="9"/>
      <c r="P265" s="9"/>
      <c r="Q265" s="28"/>
      <c r="R265" s="9"/>
      <c r="S265" s="9"/>
      <c r="T265" s="29"/>
      <c r="U265" s="30"/>
      <c r="V265" s="9"/>
      <c r="W265" s="9"/>
      <c r="X265" s="9"/>
      <c r="Y265" s="28"/>
      <c r="Z265" s="9"/>
      <c r="AA265" s="9"/>
      <c r="AB265" s="9"/>
      <c r="AC265" s="9"/>
      <c r="AE265" s="46"/>
    </row>
    <row r="266" spans="1:31" s="27" customFormat="1" ht="12.75">
      <c r="A266" s="9"/>
      <c r="B266" s="9"/>
      <c r="C266" s="9"/>
      <c r="D266" s="9"/>
      <c r="E266" s="30"/>
      <c r="F266" s="9"/>
      <c r="G266" s="28"/>
      <c r="H266" s="9"/>
      <c r="I266" s="9"/>
      <c r="J266" s="9"/>
      <c r="K266" s="9"/>
      <c r="L266" s="9"/>
      <c r="M266" s="9"/>
      <c r="N266" s="9"/>
      <c r="O266" s="9"/>
      <c r="P266" s="9"/>
      <c r="Q266" s="28"/>
      <c r="R266" s="9"/>
      <c r="S266" s="9"/>
      <c r="T266" s="29"/>
      <c r="U266" s="30"/>
      <c r="V266" s="9"/>
      <c r="W266" s="9"/>
      <c r="X266" s="9"/>
      <c r="Y266" s="28"/>
      <c r="Z266" s="9"/>
      <c r="AA266" s="9"/>
      <c r="AB266" s="9"/>
      <c r="AC266" s="9"/>
      <c r="AE266" s="46"/>
    </row>
    <row r="267" spans="17:51" ht="12.75">
      <c r="Q267" s="28"/>
      <c r="Y267" s="28"/>
      <c r="AE267" s="59"/>
      <c r="AH267" s="9"/>
      <c r="AI267" s="9"/>
      <c r="AL267" s="9"/>
      <c r="AM267" s="9"/>
      <c r="AP267" s="9"/>
      <c r="AQ267" s="9"/>
      <c r="AT267" s="9"/>
      <c r="AU267" s="9"/>
      <c r="AX267" s="9"/>
      <c r="AY267" s="9"/>
    </row>
    <row r="268" spans="17:51" ht="12.75">
      <c r="Q268" s="28"/>
      <c r="Y268" s="28"/>
      <c r="AE268" s="59"/>
      <c r="AH268" s="9"/>
      <c r="AI268" s="9"/>
      <c r="AL268" s="9"/>
      <c r="AM268" s="9"/>
      <c r="AP268" s="9"/>
      <c r="AQ268" s="9"/>
      <c r="AT268" s="9"/>
      <c r="AU268" s="9"/>
      <c r="AX268" s="9"/>
      <c r="AY268" s="9"/>
    </row>
    <row r="269" spans="17:51" ht="12.75">
      <c r="Q269" s="28"/>
      <c r="Y269" s="28"/>
      <c r="AE269" s="59"/>
      <c r="AH269" s="9"/>
      <c r="AI269" s="9"/>
      <c r="AL269" s="9"/>
      <c r="AM269" s="9"/>
      <c r="AP269" s="9"/>
      <c r="AQ269" s="9"/>
      <c r="AT269" s="9"/>
      <c r="AU269" s="9"/>
      <c r="AX269" s="9"/>
      <c r="AY269" s="9"/>
    </row>
    <row r="270" spans="17:51" ht="12.75">
      <c r="Q270" s="28"/>
      <c r="Y270" s="28"/>
      <c r="AE270" s="59"/>
      <c r="AH270" s="9"/>
      <c r="AI270" s="9"/>
      <c r="AL270" s="9"/>
      <c r="AM270" s="9"/>
      <c r="AP270" s="9"/>
      <c r="AQ270" s="9"/>
      <c r="AT270" s="9"/>
      <c r="AU270" s="9"/>
      <c r="AX270" s="9"/>
      <c r="AY270" s="9"/>
    </row>
    <row r="271" spans="17:51" ht="12.75">
      <c r="Q271" s="28"/>
      <c r="Y271" s="28"/>
      <c r="AE271" s="59"/>
      <c r="AH271" s="9"/>
      <c r="AI271" s="9"/>
      <c r="AL271" s="9"/>
      <c r="AM271" s="9"/>
      <c r="AP271" s="9"/>
      <c r="AQ271" s="9"/>
      <c r="AT271" s="9"/>
      <c r="AU271" s="9"/>
      <c r="AX271" s="9"/>
      <c r="AY271" s="9"/>
    </row>
    <row r="272" spans="17:51" ht="12.75">
      <c r="Q272" s="28"/>
      <c r="Y272" s="28"/>
      <c r="AE272" s="59"/>
      <c r="AH272" s="9"/>
      <c r="AI272" s="9"/>
      <c r="AL272" s="9"/>
      <c r="AM272" s="9"/>
      <c r="AP272" s="9"/>
      <c r="AQ272" s="9"/>
      <c r="AT272" s="9"/>
      <c r="AU272" s="9"/>
      <c r="AX272" s="9"/>
      <c r="AY272" s="9"/>
    </row>
    <row r="273" spans="17:51" ht="12.75">
      <c r="Q273" s="28"/>
      <c r="Y273" s="28"/>
      <c r="AE273" s="59"/>
      <c r="AH273" s="9"/>
      <c r="AI273" s="9"/>
      <c r="AL273" s="9"/>
      <c r="AM273" s="9"/>
      <c r="AP273" s="9"/>
      <c r="AQ273" s="9"/>
      <c r="AT273" s="9"/>
      <c r="AU273" s="9"/>
      <c r="AX273" s="9"/>
      <c r="AY273" s="9"/>
    </row>
    <row r="274" spans="17:51" ht="12.75">
      <c r="Q274" s="28"/>
      <c r="Y274" s="28"/>
      <c r="AE274" s="59"/>
      <c r="AH274" s="9"/>
      <c r="AI274" s="9"/>
      <c r="AL274" s="9"/>
      <c r="AM274" s="9"/>
      <c r="AP274" s="9"/>
      <c r="AQ274" s="9"/>
      <c r="AT274" s="9"/>
      <c r="AU274" s="9"/>
      <c r="AX274" s="9"/>
      <c r="AY274" s="9"/>
    </row>
    <row r="275" spans="17:51" ht="12.75">
      <c r="Q275" s="28"/>
      <c r="Y275" s="28"/>
      <c r="AE275" s="59"/>
      <c r="AH275" s="9"/>
      <c r="AI275" s="9"/>
      <c r="AL275" s="9"/>
      <c r="AM275" s="9"/>
      <c r="AP275" s="9"/>
      <c r="AQ275" s="9"/>
      <c r="AT275" s="9"/>
      <c r="AU275" s="9"/>
      <c r="AX275" s="9"/>
      <c r="AY275" s="9"/>
    </row>
    <row r="276" spans="17:51" ht="12.75">
      <c r="Q276" s="28"/>
      <c r="Y276" s="28"/>
      <c r="AE276" s="59"/>
      <c r="AH276" s="9"/>
      <c r="AI276" s="9"/>
      <c r="AL276" s="9"/>
      <c r="AM276" s="9"/>
      <c r="AP276" s="9"/>
      <c r="AQ276" s="9"/>
      <c r="AT276" s="9"/>
      <c r="AU276" s="9"/>
      <c r="AX276" s="9"/>
      <c r="AY276" s="9"/>
    </row>
    <row r="277" spans="17:51" ht="12.75">
      <c r="Q277" s="28"/>
      <c r="Y277" s="28"/>
      <c r="AE277" s="59"/>
      <c r="AH277" s="9"/>
      <c r="AI277" s="9"/>
      <c r="AL277" s="9"/>
      <c r="AM277" s="9"/>
      <c r="AP277" s="9"/>
      <c r="AQ277" s="9"/>
      <c r="AT277" s="9"/>
      <c r="AU277" s="9"/>
      <c r="AX277" s="9"/>
      <c r="AY277" s="9"/>
    </row>
    <row r="278" spans="17:51" ht="12.75">
      <c r="Q278" s="28"/>
      <c r="Y278" s="28"/>
      <c r="AE278" s="59"/>
      <c r="AH278" s="9"/>
      <c r="AI278" s="9"/>
      <c r="AL278" s="9"/>
      <c r="AM278" s="9"/>
      <c r="AP278" s="9"/>
      <c r="AQ278" s="9"/>
      <c r="AT278" s="9"/>
      <c r="AU278" s="9"/>
      <c r="AX278" s="9"/>
      <c r="AY278" s="9"/>
    </row>
    <row r="279" spans="17:51" ht="12.75">
      <c r="Q279" s="28"/>
      <c r="Y279" s="28"/>
      <c r="AE279" s="59"/>
      <c r="AH279" s="9"/>
      <c r="AI279" s="9"/>
      <c r="AL279" s="9"/>
      <c r="AM279" s="9"/>
      <c r="AP279" s="9"/>
      <c r="AQ279" s="9"/>
      <c r="AT279" s="9"/>
      <c r="AU279" s="9"/>
      <c r="AX279" s="9"/>
      <c r="AY279" s="9"/>
    </row>
    <row r="280" spans="17:51" ht="12.75">
      <c r="Q280" s="28"/>
      <c r="Y280" s="28"/>
      <c r="AE280" s="59"/>
      <c r="AH280" s="9"/>
      <c r="AI280" s="9"/>
      <c r="AL280" s="9"/>
      <c r="AM280" s="9"/>
      <c r="AP280" s="9"/>
      <c r="AQ280" s="9"/>
      <c r="AT280" s="9"/>
      <c r="AU280" s="9"/>
      <c r="AX280" s="9"/>
      <c r="AY280" s="9"/>
    </row>
    <row r="281" spans="17:51" ht="12.75">
      <c r="Q281" s="28"/>
      <c r="Y281" s="28"/>
      <c r="AE281" s="59"/>
      <c r="AH281" s="9"/>
      <c r="AI281" s="9"/>
      <c r="AL281" s="9"/>
      <c r="AM281" s="9"/>
      <c r="AP281" s="9"/>
      <c r="AQ281" s="9"/>
      <c r="AT281" s="9"/>
      <c r="AU281" s="9"/>
      <c r="AX281" s="9"/>
      <c r="AY281" s="9"/>
    </row>
    <row r="282" spans="17:51" ht="12.75">
      <c r="Q282" s="28"/>
      <c r="Y282" s="28"/>
      <c r="AE282" s="59"/>
      <c r="AH282" s="9"/>
      <c r="AI282" s="9"/>
      <c r="AL282" s="9"/>
      <c r="AM282" s="9"/>
      <c r="AP282" s="9"/>
      <c r="AQ282" s="9"/>
      <c r="AT282" s="9"/>
      <c r="AU282" s="9"/>
      <c r="AX282" s="9"/>
      <c r="AY282" s="9"/>
    </row>
    <row r="283" spans="17:51" ht="12.75">
      <c r="Q283" s="28"/>
      <c r="Y283" s="28"/>
      <c r="AE283" s="59"/>
      <c r="AH283" s="9"/>
      <c r="AI283" s="9"/>
      <c r="AL283" s="9"/>
      <c r="AM283" s="9"/>
      <c r="AP283" s="9"/>
      <c r="AQ283" s="9"/>
      <c r="AT283" s="9"/>
      <c r="AU283" s="9"/>
      <c r="AX283" s="9"/>
      <c r="AY283" s="9"/>
    </row>
    <row r="284" spans="17:51" ht="12.75">
      <c r="Q284" s="28"/>
      <c r="Y284" s="28"/>
      <c r="AE284" s="59"/>
      <c r="AH284" s="9"/>
      <c r="AI284" s="9"/>
      <c r="AL284" s="9"/>
      <c r="AM284" s="9"/>
      <c r="AP284" s="9"/>
      <c r="AQ284" s="9"/>
      <c r="AT284" s="9"/>
      <c r="AU284" s="9"/>
      <c r="AX284" s="9"/>
      <c r="AY284" s="9"/>
    </row>
    <row r="285" spans="17:51" ht="12.75">
      <c r="Q285" s="28"/>
      <c r="Y285" s="28"/>
      <c r="AE285" s="59"/>
      <c r="AH285" s="9"/>
      <c r="AI285" s="9"/>
      <c r="AL285" s="9"/>
      <c r="AM285" s="9"/>
      <c r="AP285" s="9"/>
      <c r="AQ285" s="9"/>
      <c r="AT285" s="9"/>
      <c r="AU285" s="9"/>
      <c r="AX285" s="9"/>
      <c r="AY285" s="9"/>
    </row>
    <row r="286" spans="17:51" ht="12.75">
      <c r="Q286" s="28"/>
      <c r="Y286" s="28"/>
      <c r="AE286" s="59"/>
      <c r="AH286" s="9"/>
      <c r="AI286" s="9"/>
      <c r="AL286" s="9"/>
      <c r="AM286" s="9"/>
      <c r="AP286" s="9"/>
      <c r="AQ286" s="9"/>
      <c r="AT286" s="9"/>
      <c r="AU286" s="9"/>
      <c r="AX286" s="9"/>
      <c r="AY286" s="9"/>
    </row>
    <row r="287" spans="17:51" ht="12.75">
      <c r="Q287" s="28"/>
      <c r="Y287" s="28"/>
      <c r="AE287" s="59"/>
      <c r="AH287" s="9"/>
      <c r="AI287" s="9"/>
      <c r="AL287" s="9"/>
      <c r="AM287" s="9"/>
      <c r="AP287" s="9"/>
      <c r="AQ287" s="9"/>
      <c r="AT287" s="9"/>
      <c r="AU287" s="9"/>
      <c r="AX287" s="9"/>
      <c r="AY287" s="9"/>
    </row>
    <row r="288" spans="17:51" ht="12.75">
      <c r="Q288" s="28"/>
      <c r="Y288" s="28"/>
      <c r="AE288" s="59"/>
      <c r="AH288" s="9"/>
      <c r="AI288" s="9"/>
      <c r="AL288" s="9"/>
      <c r="AM288" s="9"/>
      <c r="AP288" s="9"/>
      <c r="AQ288" s="9"/>
      <c r="AT288" s="9"/>
      <c r="AU288" s="9"/>
      <c r="AX288" s="9"/>
      <c r="AY288" s="9"/>
    </row>
    <row r="289" spans="17:51" ht="12.75">
      <c r="Q289" s="28"/>
      <c r="Y289" s="28"/>
      <c r="AE289" s="59"/>
      <c r="AH289" s="9"/>
      <c r="AI289" s="9"/>
      <c r="AL289" s="9"/>
      <c r="AM289" s="9"/>
      <c r="AP289" s="9"/>
      <c r="AQ289" s="9"/>
      <c r="AT289" s="9"/>
      <c r="AU289" s="9"/>
      <c r="AX289" s="9"/>
      <c r="AY289" s="9"/>
    </row>
    <row r="290" spans="17:51" ht="12.75">
      <c r="Q290" s="28"/>
      <c r="Y290" s="28"/>
      <c r="AE290" s="59"/>
      <c r="AH290" s="9"/>
      <c r="AI290" s="9"/>
      <c r="AL290" s="9"/>
      <c r="AM290" s="9"/>
      <c r="AP290" s="9"/>
      <c r="AQ290" s="9"/>
      <c r="AT290" s="9"/>
      <c r="AU290" s="9"/>
      <c r="AX290" s="9"/>
      <c r="AY290" s="9"/>
    </row>
    <row r="291" spans="17:51" ht="12.75">
      <c r="Q291" s="28"/>
      <c r="Y291" s="28"/>
      <c r="AE291" s="59"/>
      <c r="AH291" s="9"/>
      <c r="AI291" s="9"/>
      <c r="AL291" s="9"/>
      <c r="AM291" s="9"/>
      <c r="AP291" s="9"/>
      <c r="AQ291" s="9"/>
      <c r="AT291" s="9"/>
      <c r="AU291" s="9"/>
      <c r="AX291" s="9"/>
      <c r="AY291" s="9"/>
    </row>
    <row r="292" spans="17:51" ht="12.75">
      <c r="Q292" s="28"/>
      <c r="Y292" s="28"/>
      <c r="AE292" s="59"/>
      <c r="AH292" s="9"/>
      <c r="AI292" s="9"/>
      <c r="AL292" s="9"/>
      <c r="AM292" s="9"/>
      <c r="AP292" s="9"/>
      <c r="AQ292" s="9"/>
      <c r="AT292" s="9"/>
      <c r="AU292" s="9"/>
      <c r="AX292" s="9"/>
      <c r="AY292" s="9"/>
    </row>
    <row r="293" spans="17:51" ht="12.75">
      <c r="Q293" s="28"/>
      <c r="Y293" s="28"/>
      <c r="AE293" s="59"/>
      <c r="AH293" s="9"/>
      <c r="AI293" s="9"/>
      <c r="AL293" s="9"/>
      <c r="AM293" s="9"/>
      <c r="AP293" s="9"/>
      <c r="AQ293" s="9"/>
      <c r="AT293" s="9"/>
      <c r="AU293" s="9"/>
      <c r="AX293" s="9"/>
      <c r="AY293" s="9"/>
    </row>
    <row r="294" spans="17:51" ht="12.75">
      <c r="Q294" s="28"/>
      <c r="Y294" s="28"/>
      <c r="AE294" s="59"/>
      <c r="AH294" s="9"/>
      <c r="AI294" s="9"/>
      <c r="AL294" s="9"/>
      <c r="AM294" s="9"/>
      <c r="AP294" s="9"/>
      <c r="AQ294" s="9"/>
      <c r="AT294" s="9"/>
      <c r="AU294" s="9"/>
      <c r="AX294" s="9"/>
      <c r="AY294" s="9"/>
    </row>
    <row r="295" spans="17:51" ht="12.75">
      <c r="Q295" s="28"/>
      <c r="Y295" s="28"/>
      <c r="AE295" s="59"/>
      <c r="AH295" s="9"/>
      <c r="AI295" s="9"/>
      <c r="AL295" s="9"/>
      <c r="AM295" s="9"/>
      <c r="AP295" s="9"/>
      <c r="AQ295" s="9"/>
      <c r="AT295" s="9"/>
      <c r="AU295" s="9"/>
      <c r="AX295" s="9"/>
      <c r="AY295" s="9"/>
    </row>
    <row r="296" spans="17:51" ht="12.75">
      <c r="Q296" s="28"/>
      <c r="Y296" s="28"/>
      <c r="AE296" s="59"/>
      <c r="AH296" s="9"/>
      <c r="AI296" s="9"/>
      <c r="AL296" s="9"/>
      <c r="AM296" s="9"/>
      <c r="AP296" s="9"/>
      <c r="AQ296" s="9"/>
      <c r="AT296" s="9"/>
      <c r="AU296" s="9"/>
      <c r="AX296" s="9"/>
      <c r="AY296" s="9"/>
    </row>
    <row r="297" spans="17:51" ht="12.75">
      <c r="Q297" s="28"/>
      <c r="Y297" s="28"/>
      <c r="AE297" s="59"/>
      <c r="AH297" s="9"/>
      <c r="AI297" s="9"/>
      <c r="AL297" s="9"/>
      <c r="AM297" s="9"/>
      <c r="AP297" s="9"/>
      <c r="AQ297" s="9"/>
      <c r="AT297" s="9"/>
      <c r="AU297" s="9"/>
      <c r="AX297" s="9"/>
      <c r="AY297" s="9"/>
    </row>
    <row r="298" spans="17:51" ht="12.75">
      <c r="Q298" s="28"/>
      <c r="Y298" s="28"/>
      <c r="AE298" s="59"/>
      <c r="AH298" s="9"/>
      <c r="AI298" s="9"/>
      <c r="AL298" s="9"/>
      <c r="AM298" s="9"/>
      <c r="AP298" s="9"/>
      <c r="AQ298" s="9"/>
      <c r="AT298" s="9"/>
      <c r="AU298" s="9"/>
      <c r="AX298" s="9"/>
      <c r="AY298" s="9"/>
    </row>
    <row r="299" spans="17:51" ht="12.75">
      <c r="Q299" s="28"/>
      <c r="Y299" s="28"/>
      <c r="AE299" s="59"/>
      <c r="AH299" s="9"/>
      <c r="AI299" s="9"/>
      <c r="AL299" s="9"/>
      <c r="AM299" s="9"/>
      <c r="AP299" s="9"/>
      <c r="AQ299" s="9"/>
      <c r="AT299" s="9"/>
      <c r="AU299" s="9"/>
      <c r="AX299" s="9"/>
      <c r="AY299" s="9"/>
    </row>
    <row r="300" spans="17:51" ht="12.75">
      <c r="Q300" s="28"/>
      <c r="Y300" s="28"/>
      <c r="AE300" s="59"/>
      <c r="AH300" s="9"/>
      <c r="AI300" s="9"/>
      <c r="AL300" s="9"/>
      <c r="AM300" s="9"/>
      <c r="AP300" s="9"/>
      <c r="AQ300" s="9"/>
      <c r="AT300" s="9"/>
      <c r="AU300" s="9"/>
      <c r="AX300" s="9"/>
      <c r="AY300" s="9"/>
    </row>
    <row r="301" spans="17:51" ht="12.75">
      <c r="Q301" s="28"/>
      <c r="Y301" s="28"/>
      <c r="AE301" s="59"/>
      <c r="AH301" s="9"/>
      <c r="AI301" s="9"/>
      <c r="AL301" s="9"/>
      <c r="AM301" s="9"/>
      <c r="AP301" s="9"/>
      <c r="AQ301" s="9"/>
      <c r="AT301" s="9"/>
      <c r="AU301" s="9"/>
      <c r="AX301" s="9"/>
      <c r="AY301" s="9"/>
    </row>
    <row r="302" spans="17:51" ht="12.75">
      <c r="Q302" s="28"/>
      <c r="Y302" s="28"/>
      <c r="AE302" s="59"/>
      <c r="AH302" s="9"/>
      <c r="AI302" s="9"/>
      <c r="AL302" s="9"/>
      <c r="AM302" s="9"/>
      <c r="AP302" s="9"/>
      <c r="AQ302" s="9"/>
      <c r="AT302" s="9"/>
      <c r="AU302" s="9"/>
      <c r="AX302" s="9"/>
      <c r="AY302" s="9"/>
    </row>
    <row r="303" spans="17:51" ht="12.75">
      <c r="Q303" s="28"/>
      <c r="Y303" s="28"/>
      <c r="AE303" s="59"/>
      <c r="AH303" s="9"/>
      <c r="AI303" s="9"/>
      <c r="AL303" s="9"/>
      <c r="AM303" s="9"/>
      <c r="AP303" s="9"/>
      <c r="AQ303" s="9"/>
      <c r="AT303" s="9"/>
      <c r="AU303" s="9"/>
      <c r="AX303" s="9"/>
      <c r="AY303" s="9"/>
    </row>
    <row r="304" spans="17:51" ht="12.75">
      <c r="Q304" s="28"/>
      <c r="Y304" s="28"/>
      <c r="AE304" s="59"/>
      <c r="AH304" s="9"/>
      <c r="AI304" s="9"/>
      <c r="AL304" s="9"/>
      <c r="AM304" s="9"/>
      <c r="AP304" s="9"/>
      <c r="AQ304" s="9"/>
      <c r="AT304" s="9"/>
      <c r="AU304" s="9"/>
      <c r="AX304" s="9"/>
      <c r="AY304" s="9"/>
    </row>
    <row r="305" spans="17:51" ht="12.75">
      <c r="Q305" s="28"/>
      <c r="Y305" s="28"/>
      <c r="AE305" s="59"/>
      <c r="AH305" s="9"/>
      <c r="AI305" s="9"/>
      <c r="AL305" s="9"/>
      <c r="AM305" s="9"/>
      <c r="AP305" s="9"/>
      <c r="AQ305" s="9"/>
      <c r="AT305" s="9"/>
      <c r="AU305" s="9"/>
      <c r="AX305" s="9"/>
      <c r="AY305" s="9"/>
    </row>
    <row r="306" spans="17:51" ht="12.75">
      <c r="Q306" s="28"/>
      <c r="Y306" s="28"/>
      <c r="AE306" s="59"/>
      <c r="AH306" s="9"/>
      <c r="AI306" s="9"/>
      <c r="AL306" s="9"/>
      <c r="AM306" s="9"/>
      <c r="AP306" s="9"/>
      <c r="AQ306" s="9"/>
      <c r="AT306" s="9"/>
      <c r="AU306" s="9"/>
      <c r="AX306" s="9"/>
      <c r="AY306" s="9"/>
    </row>
    <row r="307" spans="17:51" ht="12.75">
      <c r="Q307" s="28"/>
      <c r="Y307" s="28"/>
      <c r="AE307" s="59"/>
      <c r="AH307" s="9"/>
      <c r="AI307" s="9"/>
      <c r="AL307" s="9"/>
      <c r="AM307" s="9"/>
      <c r="AP307" s="9"/>
      <c r="AQ307" s="9"/>
      <c r="AT307" s="9"/>
      <c r="AU307" s="9"/>
      <c r="AX307" s="9"/>
      <c r="AY307" s="9"/>
    </row>
    <row r="308" spans="17:51" ht="12.75">
      <c r="Q308" s="28"/>
      <c r="Y308" s="28"/>
      <c r="AE308" s="59"/>
      <c r="AH308" s="9"/>
      <c r="AI308" s="9"/>
      <c r="AL308" s="9"/>
      <c r="AM308" s="9"/>
      <c r="AP308" s="9"/>
      <c r="AQ308" s="9"/>
      <c r="AT308" s="9"/>
      <c r="AU308" s="9"/>
      <c r="AX308" s="9"/>
      <c r="AY308" s="9"/>
    </row>
    <row r="309" spans="17:51" ht="12.75">
      <c r="Q309" s="28"/>
      <c r="Y309" s="28"/>
      <c r="AE309" s="59"/>
      <c r="AH309" s="9"/>
      <c r="AI309" s="9"/>
      <c r="AL309" s="9"/>
      <c r="AM309" s="9"/>
      <c r="AP309" s="9"/>
      <c r="AQ309" s="9"/>
      <c r="AT309" s="9"/>
      <c r="AU309" s="9"/>
      <c r="AX309" s="9"/>
      <c r="AY309" s="9"/>
    </row>
    <row r="310" spans="17:51" ht="12.75">
      <c r="Q310" s="28"/>
      <c r="Y310" s="28"/>
      <c r="AE310" s="59"/>
      <c r="AH310" s="9"/>
      <c r="AI310" s="9"/>
      <c r="AL310" s="9"/>
      <c r="AM310" s="9"/>
      <c r="AP310" s="9"/>
      <c r="AQ310" s="9"/>
      <c r="AT310" s="9"/>
      <c r="AU310" s="9"/>
      <c r="AX310" s="9"/>
      <c r="AY310" s="9"/>
    </row>
    <row r="311" spans="17:51" ht="12.75">
      <c r="Q311" s="28"/>
      <c r="Y311" s="28"/>
      <c r="AE311" s="59"/>
      <c r="AH311" s="9"/>
      <c r="AI311" s="9"/>
      <c r="AL311" s="9"/>
      <c r="AM311" s="9"/>
      <c r="AP311" s="9"/>
      <c r="AQ311" s="9"/>
      <c r="AT311" s="9"/>
      <c r="AU311" s="9"/>
      <c r="AX311" s="9"/>
      <c r="AY311" s="9"/>
    </row>
    <row r="312" spans="17:51" ht="12.75">
      <c r="Q312" s="28"/>
      <c r="Y312" s="28"/>
      <c r="AE312" s="59"/>
      <c r="AH312" s="9"/>
      <c r="AI312" s="9"/>
      <c r="AL312" s="9"/>
      <c r="AM312" s="9"/>
      <c r="AP312" s="9"/>
      <c r="AQ312" s="9"/>
      <c r="AT312" s="9"/>
      <c r="AU312" s="9"/>
      <c r="AX312" s="9"/>
      <c r="AY312" s="9"/>
    </row>
    <row r="313" spans="17:51" ht="12.75">
      <c r="Q313" s="28"/>
      <c r="Y313" s="28"/>
      <c r="AE313" s="59"/>
      <c r="AH313" s="9"/>
      <c r="AI313" s="9"/>
      <c r="AL313" s="9"/>
      <c r="AM313" s="9"/>
      <c r="AP313" s="9"/>
      <c r="AQ313" s="9"/>
      <c r="AT313" s="9"/>
      <c r="AU313" s="9"/>
      <c r="AX313" s="9"/>
      <c r="AY313" s="9"/>
    </row>
    <row r="314" spans="17:51" ht="12.75">
      <c r="Q314" s="28"/>
      <c r="Y314" s="28"/>
      <c r="AE314" s="59"/>
      <c r="AH314" s="9"/>
      <c r="AI314" s="9"/>
      <c r="AL314" s="9"/>
      <c r="AM314" s="9"/>
      <c r="AP314" s="9"/>
      <c r="AQ314" s="9"/>
      <c r="AT314" s="9"/>
      <c r="AU314" s="9"/>
      <c r="AX314" s="9"/>
      <c r="AY314" s="9"/>
    </row>
    <row r="315" spans="17:51" ht="12.75">
      <c r="Q315" s="28"/>
      <c r="Y315" s="28"/>
      <c r="AE315" s="59"/>
      <c r="AH315" s="9"/>
      <c r="AI315" s="9"/>
      <c r="AL315" s="9"/>
      <c r="AM315" s="9"/>
      <c r="AP315" s="9"/>
      <c r="AQ315" s="9"/>
      <c r="AT315" s="9"/>
      <c r="AU315" s="9"/>
      <c r="AX315" s="9"/>
      <c r="AY315" s="9"/>
    </row>
    <row r="316" spans="17:51" ht="12.75">
      <c r="Q316" s="28"/>
      <c r="Y316" s="28"/>
      <c r="AE316" s="59"/>
      <c r="AH316" s="9"/>
      <c r="AI316" s="9"/>
      <c r="AL316" s="9"/>
      <c r="AM316" s="9"/>
      <c r="AP316" s="9"/>
      <c r="AQ316" s="9"/>
      <c r="AT316" s="9"/>
      <c r="AU316" s="9"/>
      <c r="AX316" s="9"/>
      <c r="AY316" s="9"/>
    </row>
    <row r="317" spans="17:51" ht="12.75">
      <c r="Q317" s="28"/>
      <c r="Y317" s="28"/>
      <c r="AE317" s="59"/>
      <c r="AH317" s="9"/>
      <c r="AI317" s="9"/>
      <c r="AL317" s="9"/>
      <c r="AM317" s="9"/>
      <c r="AP317" s="9"/>
      <c r="AQ317" s="9"/>
      <c r="AT317" s="9"/>
      <c r="AU317" s="9"/>
      <c r="AX317" s="9"/>
      <c r="AY317" s="9"/>
    </row>
    <row r="318" spans="17:51" ht="12.75">
      <c r="Q318" s="28"/>
      <c r="Y318" s="28"/>
      <c r="AE318" s="59"/>
      <c r="AH318" s="9"/>
      <c r="AI318" s="9"/>
      <c r="AL318" s="9"/>
      <c r="AM318" s="9"/>
      <c r="AP318" s="9"/>
      <c r="AQ318" s="9"/>
      <c r="AT318" s="9"/>
      <c r="AU318" s="9"/>
      <c r="AX318" s="9"/>
      <c r="AY318" s="9"/>
    </row>
    <row r="319" spans="17:51" ht="12.75">
      <c r="Q319" s="28"/>
      <c r="Y319" s="28"/>
      <c r="AE319" s="59"/>
      <c r="AH319" s="9"/>
      <c r="AI319" s="9"/>
      <c r="AL319" s="9"/>
      <c r="AM319" s="9"/>
      <c r="AP319" s="9"/>
      <c r="AQ319" s="9"/>
      <c r="AT319" s="9"/>
      <c r="AU319" s="9"/>
      <c r="AX319" s="9"/>
      <c r="AY319" s="9"/>
    </row>
    <row r="320" spans="17:51" ht="12.75">
      <c r="Q320" s="28"/>
      <c r="Y320" s="28"/>
      <c r="AE320" s="59"/>
      <c r="AH320" s="9"/>
      <c r="AI320" s="9"/>
      <c r="AL320" s="9"/>
      <c r="AM320" s="9"/>
      <c r="AP320" s="9"/>
      <c r="AQ320" s="9"/>
      <c r="AT320" s="9"/>
      <c r="AU320" s="9"/>
      <c r="AX320" s="9"/>
      <c r="AY320" s="9"/>
    </row>
    <row r="321" spans="17:51" ht="12.75">
      <c r="Q321" s="28"/>
      <c r="Y321" s="28"/>
      <c r="AE321" s="59"/>
      <c r="AH321" s="9"/>
      <c r="AI321" s="9"/>
      <c r="AL321" s="9"/>
      <c r="AM321" s="9"/>
      <c r="AP321" s="9"/>
      <c r="AQ321" s="9"/>
      <c r="AT321" s="9"/>
      <c r="AU321" s="9"/>
      <c r="AX321" s="9"/>
      <c r="AY321" s="9"/>
    </row>
    <row r="322" spans="17:51" ht="12.75">
      <c r="Q322" s="28"/>
      <c r="Y322" s="28"/>
      <c r="AE322" s="59"/>
      <c r="AH322" s="9"/>
      <c r="AI322" s="9"/>
      <c r="AL322" s="9"/>
      <c r="AM322" s="9"/>
      <c r="AP322" s="9"/>
      <c r="AQ322" s="9"/>
      <c r="AT322" s="9"/>
      <c r="AU322" s="9"/>
      <c r="AX322" s="9"/>
      <c r="AY322" s="9"/>
    </row>
    <row r="323" spans="17:51" ht="12.75">
      <c r="Q323" s="28"/>
      <c r="Y323" s="28"/>
      <c r="AE323" s="59"/>
      <c r="AH323" s="9"/>
      <c r="AI323" s="9"/>
      <c r="AL323" s="9"/>
      <c r="AM323" s="9"/>
      <c r="AP323" s="9"/>
      <c r="AQ323" s="9"/>
      <c r="AT323" s="9"/>
      <c r="AU323" s="9"/>
      <c r="AX323" s="9"/>
      <c r="AY323" s="9"/>
    </row>
    <row r="324" spans="17:51" ht="12.75">
      <c r="Q324" s="28"/>
      <c r="Y324" s="28"/>
      <c r="AE324" s="59"/>
      <c r="AH324" s="9"/>
      <c r="AI324" s="9"/>
      <c r="AL324" s="9"/>
      <c r="AM324" s="9"/>
      <c r="AP324" s="9"/>
      <c r="AQ324" s="9"/>
      <c r="AT324" s="9"/>
      <c r="AU324" s="9"/>
      <c r="AX324" s="9"/>
      <c r="AY324" s="9"/>
    </row>
    <row r="325" spans="17:51" ht="12.75">
      <c r="Q325" s="28"/>
      <c r="Y325" s="28"/>
      <c r="AE325" s="59"/>
      <c r="AH325" s="9"/>
      <c r="AI325" s="9"/>
      <c r="AL325" s="9"/>
      <c r="AM325" s="9"/>
      <c r="AP325" s="9"/>
      <c r="AQ325" s="9"/>
      <c r="AT325" s="9"/>
      <c r="AU325" s="9"/>
      <c r="AX325" s="9"/>
      <c r="AY325" s="9"/>
    </row>
    <row r="326" spans="17:51" ht="12.75">
      <c r="Q326" s="28"/>
      <c r="Y326" s="28"/>
      <c r="AE326" s="59"/>
      <c r="AH326" s="9"/>
      <c r="AI326" s="9"/>
      <c r="AL326" s="9"/>
      <c r="AM326" s="9"/>
      <c r="AP326" s="9"/>
      <c r="AQ326" s="9"/>
      <c r="AT326" s="9"/>
      <c r="AU326" s="9"/>
      <c r="AX326" s="9"/>
      <c r="AY326" s="9"/>
    </row>
    <row r="327" spans="17:51" ht="12.75">
      <c r="Q327" s="28"/>
      <c r="Y327" s="28"/>
      <c r="AE327" s="59"/>
      <c r="AH327" s="9"/>
      <c r="AI327" s="9"/>
      <c r="AL327" s="9"/>
      <c r="AM327" s="9"/>
      <c r="AP327" s="9"/>
      <c r="AQ327" s="9"/>
      <c r="AT327" s="9"/>
      <c r="AU327" s="9"/>
      <c r="AX327" s="9"/>
      <c r="AY327" s="9"/>
    </row>
    <row r="328" spans="17:51" ht="12.75">
      <c r="Q328" s="28"/>
      <c r="Y328" s="28"/>
      <c r="AE328" s="59"/>
      <c r="AH328" s="9"/>
      <c r="AI328" s="9"/>
      <c r="AL328" s="9"/>
      <c r="AM328" s="9"/>
      <c r="AP328" s="9"/>
      <c r="AQ328" s="9"/>
      <c r="AT328" s="9"/>
      <c r="AU328" s="9"/>
      <c r="AX328" s="9"/>
      <c r="AY328" s="9"/>
    </row>
    <row r="329" spans="17:51" ht="12.75">
      <c r="Q329" s="28"/>
      <c r="Y329" s="28"/>
      <c r="AE329" s="59"/>
      <c r="AH329" s="9"/>
      <c r="AI329" s="9"/>
      <c r="AL329" s="9"/>
      <c r="AM329" s="9"/>
      <c r="AP329" s="9"/>
      <c r="AQ329" s="9"/>
      <c r="AT329" s="9"/>
      <c r="AU329" s="9"/>
      <c r="AX329" s="9"/>
      <c r="AY329" s="9"/>
    </row>
    <row r="330" spans="17:51" ht="12.75">
      <c r="Q330" s="28"/>
      <c r="Y330" s="28"/>
      <c r="AE330" s="59"/>
      <c r="AH330" s="9"/>
      <c r="AI330" s="9"/>
      <c r="AL330" s="9"/>
      <c r="AM330" s="9"/>
      <c r="AP330" s="9"/>
      <c r="AQ330" s="9"/>
      <c r="AT330" s="9"/>
      <c r="AU330" s="9"/>
      <c r="AX330" s="9"/>
      <c r="AY330" s="9"/>
    </row>
    <row r="331" spans="17:51" ht="12.75">
      <c r="Q331" s="28"/>
      <c r="Y331" s="28"/>
      <c r="AE331" s="59"/>
      <c r="AH331" s="9"/>
      <c r="AI331" s="9"/>
      <c r="AL331" s="9"/>
      <c r="AM331" s="9"/>
      <c r="AP331" s="9"/>
      <c r="AQ331" s="9"/>
      <c r="AT331" s="9"/>
      <c r="AU331" s="9"/>
      <c r="AX331" s="9"/>
      <c r="AY331" s="9"/>
    </row>
    <row r="332" spans="17:51" ht="12.75">
      <c r="Q332" s="28"/>
      <c r="Y332" s="28"/>
      <c r="AE332" s="59"/>
      <c r="AH332" s="9"/>
      <c r="AI332" s="9"/>
      <c r="AL332" s="9"/>
      <c r="AM332" s="9"/>
      <c r="AP332" s="9"/>
      <c r="AQ332" s="9"/>
      <c r="AT332" s="9"/>
      <c r="AU332" s="9"/>
      <c r="AX332" s="9"/>
      <c r="AY332" s="9"/>
    </row>
    <row r="333" spans="17:51" ht="12.75">
      <c r="Q333" s="28"/>
      <c r="Y333" s="28"/>
      <c r="AE333" s="59"/>
      <c r="AH333" s="9"/>
      <c r="AI333" s="9"/>
      <c r="AL333" s="9"/>
      <c r="AM333" s="9"/>
      <c r="AP333" s="9"/>
      <c r="AQ333" s="9"/>
      <c r="AT333" s="9"/>
      <c r="AU333" s="9"/>
      <c r="AX333" s="9"/>
      <c r="AY333" s="9"/>
    </row>
    <row r="334" spans="17:51" ht="12.75">
      <c r="Q334" s="28"/>
      <c r="Y334" s="28"/>
      <c r="AE334" s="59"/>
      <c r="AH334" s="9"/>
      <c r="AI334" s="9"/>
      <c r="AL334" s="9"/>
      <c r="AM334" s="9"/>
      <c r="AP334" s="9"/>
      <c r="AQ334" s="9"/>
      <c r="AT334" s="9"/>
      <c r="AU334" s="9"/>
      <c r="AX334" s="9"/>
      <c r="AY334" s="9"/>
    </row>
    <row r="335" spans="17:51" ht="12.75">
      <c r="Q335" s="28"/>
      <c r="Y335" s="28"/>
      <c r="AE335" s="59"/>
      <c r="AH335" s="9"/>
      <c r="AI335" s="9"/>
      <c r="AL335" s="9"/>
      <c r="AM335" s="9"/>
      <c r="AP335" s="9"/>
      <c r="AQ335" s="9"/>
      <c r="AT335" s="9"/>
      <c r="AU335" s="9"/>
      <c r="AX335" s="9"/>
      <c r="AY335" s="9"/>
    </row>
    <row r="336" spans="17:51" ht="12.75">
      <c r="Q336" s="28"/>
      <c r="Y336" s="28"/>
      <c r="AE336" s="59"/>
      <c r="AH336" s="9"/>
      <c r="AI336" s="9"/>
      <c r="AL336" s="9"/>
      <c r="AM336" s="9"/>
      <c r="AP336" s="9"/>
      <c r="AQ336" s="9"/>
      <c r="AT336" s="9"/>
      <c r="AU336" s="9"/>
      <c r="AX336" s="9"/>
      <c r="AY336" s="9"/>
    </row>
    <row r="337" spans="17:51" ht="12.75">
      <c r="Q337" s="28"/>
      <c r="Y337" s="28"/>
      <c r="AE337" s="59"/>
      <c r="AH337" s="9"/>
      <c r="AI337" s="9"/>
      <c r="AL337" s="9"/>
      <c r="AM337" s="9"/>
      <c r="AP337" s="9"/>
      <c r="AQ337" s="9"/>
      <c r="AT337" s="9"/>
      <c r="AU337" s="9"/>
      <c r="AX337" s="9"/>
      <c r="AY337" s="9"/>
    </row>
    <row r="338" spans="17:51" ht="12.75">
      <c r="Q338" s="28"/>
      <c r="Y338" s="28"/>
      <c r="AE338" s="59"/>
      <c r="AH338" s="9"/>
      <c r="AI338" s="9"/>
      <c r="AL338" s="9"/>
      <c r="AM338" s="9"/>
      <c r="AP338" s="9"/>
      <c r="AQ338" s="9"/>
      <c r="AT338" s="9"/>
      <c r="AU338" s="9"/>
      <c r="AX338" s="9"/>
      <c r="AY338" s="9"/>
    </row>
    <row r="339" spans="17:51" ht="12.75">
      <c r="Q339" s="28"/>
      <c r="Y339" s="28"/>
      <c r="AE339" s="59"/>
      <c r="AH339" s="9"/>
      <c r="AI339" s="9"/>
      <c r="AL339" s="9"/>
      <c r="AM339" s="9"/>
      <c r="AP339" s="9"/>
      <c r="AQ339" s="9"/>
      <c r="AT339" s="9"/>
      <c r="AU339" s="9"/>
      <c r="AX339" s="9"/>
      <c r="AY339" s="9"/>
    </row>
    <row r="340" spans="17:51" ht="12.75">
      <c r="Q340" s="28"/>
      <c r="Y340" s="28"/>
      <c r="AE340" s="59"/>
      <c r="AH340" s="9"/>
      <c r="AI340" s="9"/>
      <c r="AL340" s="9"/>
      <c r="AM340" s="9"/>
      <c r="AP340" s="9"/>
      <c r="AQ340" s="9"/>
      <c r="AT340" s="9"/>
      <c r="AU340" s="9"/>
      <c r="AX340" s="9"/>
      <c r="AY340" s="9"/>
    </row>
    <row r="341" spans="17:51" ht="12.75">
      <c r="Q341" s="28"/>
      <c r="Y341" s="28"/>
      <c r="AE341" s="59"/>
      <c r="AH341" s="9"/>
      <c r="AI341" s="9"/>
      <c r="AL341" s="9"/>
      <c r="AM341" s="9"/>
      <c r="AP341" s="9"/>
      <c r="AQ341" s="9"/>
      <c r="AT341" s="9"/>
      <c r="AU341" s="9"/>
      <c r="AX341" s="9"/>
      <c r="AY341" s="9"/>
    </row>
    <row r="342" spans="17:51" ht="12.75">
      <c r="Q342" s="28"/>
      <c r="Y342" s="28"/>
      <c r="AE342" s="59"/>
      <c r="AH342" s="9"/>
      <c r="AI342" s="9"/>
      <c r="AL342" s="9"/>
      <c r="AM342" s="9"/>
      <c r="AP342" s="9"/>
      <c r="AQ342" s="9"/>
      <c r="AT342" s="9"/>
      <c r="AU342" s="9"/>
      <c r="AX342" s="9"/>
      <c r="AY342" s="9"/>
    </row>
    <row r="343" spans="17:51" ht="12.75">
      <c r="Q343" s="28"/>
      <c r="Y343" s="28"/>
      <c r="AE343" s="59"/>
      <c r="AH343" s="9"/>
      <c r="AI343" s="9"/>
      <c r="AL343" s="9"/>
      <c r="AM343" s="9"/>
      <c r="AP343" s="9"/>
      <c r="AQ343" s="9"/>
      <c r="AT343" s="9"/>
      <c r="AU343" s="9"/>
      <c r="AX343" s="9"/>
      <c r="AY343" s="9"/>
    </row>
    <row r="344" spans="17:51" ht="12.75">
      <c r="Q344" s="28"/>
      <c r="Y344" s="28"/>
      <c r="AE344" s="59"/>
      <c r="AH344" s="9"/>
      <c r="AI344" s="9"/>
      <c r="AL344" s="9"/>
      <c r="AM344" s="9"/>
      <c r="AP344" s="9"/>
      <c r="AQ344" s="9"/>
      <c r="AT344" s="9"/>
      <c r="AU344" s="9"/>
      <c r="AX344" s="9"/>
      <c r="AY344" s="9"/>
    </row>
    <row r="345" spans="17:51" ht="12.75">
      <c r="Q345" s="28"/>
      <c r="Y345" s="28"/>
      <c r="AE345" s="59"/>
      <c r="AH345" s="9"/>
      <c r="AI345" s="9"/>
      <c r="AL345" s="9"/>
      <c r="AM345" s="9"/>
      <c r="AP345" s="9"/>
      <c r="AQ345" s="9"/>
      <c r="AT345" s="9"/>
      <c r="AU345" s="9"/>
      <c r="AX345" s="9"/>
      <c r="AY345" s="9"/>
    </row>
    <row r="346" spans="17:51" ht="12.75">
      <c r="Q346" s="28"/>
      <c r="Y346" s="28"/>
      <c r="AE346" s="59"/>
      <c r="AH346" s="9"/>
      <c r="AI346" s="9"/>
      <c r="AL346" s="9"/>
      <c r="AM346" s="9"/>
      <c r="AP346" s="9"/>
      <c r="AQ346" s="9"/>
      <c r="AT346" s="9"/>
      <c r="AU346" s="9"/>
      <c r="AX346" s="9"/>
      <c r="AY346" s="9"/>
    </row>
    <row r="347" spans="17:51" ht="12.75">
      <c r="Q347" s="28"/>
      <c r="Y347" s="28"/>
      <c r="AE347" s="59"/>
      <c r="AH347" s="9"/>
      <c r="AI347" s="9"/>
      <c r="AL347" s="9"/>
      <c r="AM347" s="9"/>
      <c r="AP347" s="9"/>
      <c r="AQ347" s="9"/>
      <c r="AT347" s="9"/>
      <c r="AU347" s="9"/>
      <c r="AX347" s="9"/>
      <c r="AY347" s="9"/>
    </row>
    <row r="348" spans="17:51" ht="12.75">
      <c r="Q348" s="28"/>
      <c r="Y348" s="28"/>
      <c r="AE348" s="59"/>
      <c r="AH348" s="9"/>
      <c r="AI348" s="9"/>
      <c r="AL348" s="9"/>
      <c r="AM348" s="9"/>
      <c r="AP348" s="9"/>
      <c r="AQ348" s="9"/>
      <c r="AT348" s="9"/>
      <c r="AU348" s="9"/>
      <c r="AX348" s="9"/>
      <c r="AY348" s="9"/>
    </row>
    <row r="349" spans="17:51" ht="12.75">
      <c r="Q349" s="28"/>
      <c r="Y349" s="28"/>
      <c r="AE349" s="59"/>
      <c r="AH349" s="9"/>
      <c r="AI349" s="9"/>
      <c r="AL349" s="9"/>
      <c r="AM349" s="9"/>
      <c r="AP349" s="9"/>
      <c r="AQ349" s="9"/>
      <c r="AT349" s="9"/>
      <c r="AU349" s="9"/>
      <c r="AX349" s="9"/>
      <c r="AY349" s="9"/>
    </row>
    <row r="350" spans="17:51" ht="12.75">
      <c r="Q350" s="28"/>
      <c r="Y350" s="28"/>
      <c r="AE350" s="59"/>
      <c r="AH350" s="9"/>
      <c r="AI350" s="9"/>
      <c r="AL350" s="9"/>
      <c r="AM350" s="9"/>
      <c r="AP350" s="9"/>
      <c r="AQ350" s="9"/>
      <c r="AT350" s="9"/>
      <c r="AU350" s="9"/>
      <c r="AX350" s="9"/>
      <c r="AY350" s="9"/>
    </row>
    <row r="351" spans="17:51" ht="12.75">
      <c r="Q351" s="28"/>
      <c r="Y351" s="28"/>
      <c r="AE351" s="59"/>
      <c r="AH351" s="9"/>
      <c r="AI351" s="9"/>
      <c r="AL351" s="9"/>
      <c r="AM351" s="9"/>
      <c r="AP351" s="9"/>
      <c r="AQ351" s="9"/>
      <c r="AT351" s="9"/>
      <c r="AU351" s="9"/>
      <c r="AX351" s="9"/>
      <c r="AY351" s="9"/>
    </row>
    <row r="352" spans="17:51" ht="12.75">
      <c r="Q352" s="28"/>
      <c r="Y352" s="28"/>
      <c r="AE352" s="59"/>
      <c r="AH352" s="9"/>
      <c r="AI352" s="9"/>
      <c r="AL352" s="9"/>
      <c r="AM352" s="9"/>
      <c r="AP352" s="9"/>
      <c r="AQ352" s="9"/>
      <c r="AT352" s="9"/>
      <c r="AU352" s="9"/>
      <c r="AX352" s="9"/>
      <c r="AY352" s="9"/>
    </row>
    <row r="353" spans="17:51" ht="12.75">
      <c r="Q353" s="28"/>
      <c r="Y353" s="28"/>
      <c r="AE353" s="59"/>
      <c r="AH353" s="9"/>
      <c r="AI353" s="9"/>
      <c r="AL353" s="9"/>
      <c r="AM353" s="9"/>
      <c r="AP353" s="9"/>
      <c r="AQ353" s="9"/>
      <c r="AT353" s="9"/>
      <c r="AU353" s="9"/>
      <c r="AX353" s="9"/>
      <c r="AY353" s="9"/>
    </row>
    <row r="354" spans="17:51" ht="12.75">
      <c r="Q354" s="28"/>
      <c r="Y354" s="28"/>
      <c r="AE354" s="59"/>
      <c r="AH354" s="9"/>
      <c r="AI354" s="9"/>
      <c r="AL354" s="9"/>
      <c r="AM354" s="9"/>
      <c r="AP354" s="9"/>
      <c r="AQ354" s="9"/>
      <c r="AT354" s="9"/>
      <c r="AU354" s="9"/>
      <c r="AX354" s="9"/>
      <c r="AY354" s="9"/>
    </row>
    <row r="355" spans="17:51" ht="12.75">
      <c r="Q355" s="28"/>
      <c r="Y355" s="28"/>
      <c r="AE355" s="59"/>
      <c r="AH355" s="9"/>
      <c r="AI355" s="9"/>
      <c r="AL355" s="9"/>
      <c r="AM355" s="9"/>
      <c r="AP355" s="9"/>
      <c r="AQ355" s="9"/>
      <c r="AT355" s="9"/>
      <c r="AU355" s="9"/>
      <c r="AX355" s="9"/>
      <c r="AY355" s="9"/>
    </row>
    <row r="356" spans="17:51" ht="12.75">
      <c r="Q356" s="28"/>
      <c r="Y356" s="28"/>
      <c r="AE356" s="59"/>
      <c r="AH356" s="9"/>
      <c r="AI356" s="9"/>
      <c r="AL356" s="9"/>
      <c r="AM356" s="9"/>
      <c r="AP356" s="9"/>
      <c r="AQ356" s="9"/>
      <c r="AT356" s="9"/>
      <c r="AU356" s="9"/>
      <c r="AX356" s="9"/>
      <c r="AY356" s="9"/>
    </row>
    <row r="357" spans="17:51" ht="12.75">
      <c r="Q357" s="28"/>
      <c r="Y357" s="28"/>
      <c r="AE357" s="59"/>
      <c r="AH357" s="9"/>
      <c r="AI357" s="9"/>
      <c r="AL357" s="9"/>
      <c r="AM357" s="9"/>
      <c r="AP357" s="9"/>
      <c r="AQ357" s="9"/>
      <c r="AT357" s="9"/>
      <c r="AU357" s="9"/>
      <c r="AX357" s="9"/>
      <c r="AY357" s="9"/>
    </row>
    <row r="358" spans="17:51" ht="12.75">
      <c r="Q358" s="28"/>
      <c r="Y358" s="28"/>
      <c r="AE358" s="59"/>
      <c r="AH358" s="9"/>
      <c r="AI358" s="9"/>
      <c r="AL358" s="9"/>
      <c r="AM358" s="9"/>
      <c r="AP358" s="9"/>
      <c r="AQ358" s="9"/>
      <c r="AT358" s="9"/>
      <c r="AU358" s="9"/>
      <c r="AX358" s="9"/>
      <c r="AY358" s="9"/>
    </row>
    <row r="359" spans="17:51" ht="12.75">
      <c r="Q359" s="28"/>
      <c r="Y359" s="28"/>
      <c r="AE359" s="59"/>
      <c r="AH359" s="9"/>
      <c r="AI359" s="9"/>
      <c r="AL359" s="9"/>
      <c r="AM359" s="9"/>
      <c r="AP359" s="9"/>
      <c r="AQ359" s="9"/>
      <c r="AT359" s="9"/>
      <c r="AU359" s="9"/>
      <c r="AX359" s="9"/>
      <c r="AY359" s="9"/>
    </row>
    <row r="360" spans="17:51" ht="12.75">
      <c r="Q360" s="28"/>
      <c r="Y360" s="28"/>
      <c r="AE360" s="59"/>
      <c r="AH360" s="9"/>
      <c r="AI360" s="9"/>
      <c r="AL360" s="9"/>
      <c r="AM360" s="9"/>
      <c r="AP360" s="9"/>
      <c r="AQ360" s="9"/>
      <c r="AT360" s="9"/>
      <c r="AU360" s="9"/>
      <c r="AX360" s="9"/>
      <c r="AY360" s="9"/>
    </row>
    <row r="361" spans="17:51" ht="12.75">
      <c r="Q361" s="28"/>
      <c r="Y361" s="28"/>
      <c r="AE361" s="59"/>
      <c r="AH361" s="9"/>
      <c r="AI361" s="9"/>
      <c r="AL361" s="9"/>
      <c r="AM361" s="9"/>
      <c r="AP361" s="9"/>
      <c r="AQ361" s="9"/>
      <c r="AT361" s="9"/>
      <c r="AU361" s="9"/>
      <c r="AX361" s="9"/>
      <c r="AY361" s="9"/>
    </row>
    <row r="362" spans="17:51" ht="12.75">
      <c r="Q362" s="28"/>
      <c r="Y362" s="28"/>
      <c r="AE362" s="59"/>
      <c r="AH362" s="9"/>
      <c r="AI362" s="9"/>
      <c r="AL362" s="9"/>
      <c r="AM362" s="9"/>
      <c r="AP362" s="9"/>
      <c r="AQ362" s="9"/>
      <c r="AT362" s="9"/>
      <c r="AU362" s="9"/>
      <c r="AX362" s="9"/>
      <c r="AY362" s="9"/>
    </row>
    <row r="363" spans="17:51" ht="12.75">
      <c r="Q363" s="28"/>
      <c r="Y363" s="28"/>
      <c r="AE363" s="59"/>
      <c r="AH363" s="9"/>
      <c r="AI363" s="9"/>
      <c r="AL363" s="9"/>
      <c r="AM363" s="9"/>
      <c r="AP363" s="9"/>
      <c r="AQ363" s="9"/>
      <c r="AT363" s="9"/>
      <c r="AU363" s="9"/>
      <c r="AX363" s="9"/>
      <c r="AY363" s="9"/>
    </row>
    <row r="364" spans="17:51" ht="12.75">
      <c r="Q364" s="28"/>
      <c r="Y364" s="28"/>
      <c r="AE364" s="59"/>
      <c r="AH364" s="9"/>
      <c r="AI364" s="9"/>
      <c r="AL364" s="9"/>
      <c r="AM364" s="9"/>
      <c r="AP364" s="9"/>
      <c r="AQ364" s="9"/>
      <c r="AT364" s="9"/>
      <c r="AU364" s="9"/>
      <c r="AX364" s="9"/>
      <c r="AY364" s="9"/>
    </row>
    <row r="365" spans="17:51" ht="12.75">
      <c r="Q365" s="28"/>
      <c r="Y365" s="28"/>
      <c r="AE365" s="59"/>
      <c r="AH365" s="9"/>
      <c r="AI365" s="9"/>
      <c r="AL365" s="9"/>
      <c r="AM365" s="9"/>
      <c r="AP365" s="9"/>
      <c r="AQ365" s="9"/>
      <c r="AT365" s="9"/>
      <c r="AU365" s="9"/>
      <c r="AX365" s="9"/>
      <c r="AY365" s="9"/>
    </row>
    <row r="366" spans="17:51" ht="12.75">
      <c r="Q366" s="28"/>
      <c r="Y366" s="28"/>
      <c r="AE366" s="59"/>
      <c r="AH366" s="9"/>
      <c r="AI366" s="9"/>
      <c r="AL366" s="9"/>
      <c r="AM366" s="9"/>
      <c r="AP366" s="9"/>
      <c r="AQ366" s="9"/>
      <c r="AT366" s="9"/>
      <c r="AU366" s="9"/>
      <c r="AX366" s="9"/>
      <c r="AY366" s="9"/>
    </row>
    <row r="367" spans="17:51" ht="12.75">
      <c r="Q367" s="28"/>
      <c r="Y367" s="28"/>
      <c r="AE367" s="59"/>
      <c r="AH367" s="9"/>
      <c r="AI367" s="9"/>
      <c r="AL367" s="9"/>
      <c r="AM367" s="9"/>
      <c r="AP367" s="9"/>
      <c r="AQ367" s="9"/>
      <c r="AT367" s="9"/>
      <c r="AU367" s="9"/>
      <c r="AX367" s="9"/>
      <c r="AY367" s="9"/>
    </row>
    <row r="368" spans="17:51" ht="12.75">
      <c r="Q368" s="28"/>
      <c r="Y368" s="28"/>
      <c r="AE368" s="59"/>
      <c r="AH368" s="9"/>
      <c r="AI368" s="9"/>
      <c r="AL368" s="9"/>
      <c r="AM368" s="9"/>
      <c r="AP368" s="9"/>
      <c r="AQ368" s="9"/>
      <c r="AT368" s="9"/>
      <c r="AU368" s="9"/>
      <c r="AX368" s="9"/>
      <c r="AY368" s="9"/>
    </row>
    <row r="369" spans="17:51" ht="12.75">
      <c r="Q369" s="28"/>
      <c r="Y369" s="28"/>
      <c r="AE369" s="59"/>
      <c r="AH369" s="9"/>
      <c r="AI369" s="9"/>
      <c r="AL369" s="9"/>
      <c r="AM369" s="9"/>
      <c r="AP369" s="9"/>
      <c r="AQ369" s="9"/>
      <c r="AT369" s="9"/>
      <c r="AU369" s="9"/>
      <c r="AX369" s="9"/>
      <c r="AY369" s="9"/>
    </row>
    <row r="370" spans="17:51" ht="12.75">
      <c r="Q370" s="28"/>
      <c r="Y370" s="28"/>
      <c r="AE370" s="59"/>
      <c r="AH370" s="9"/>
      <c r="AI370" s="9"/>
      <c r="AL370" s="9"/>
      <c r="AM370" s="9"/>
      <c r="AP370" s="9"/>
      <c r="AQ370" s="9"/>
      <c r="AT370" s="9"/>
      <c r="AU370" s="9"/>
      <c r="AX370" s="9"/>
      <c r="AY370" s="9"/>
    </row>
    <row r="371" spans="17:51" ht="12.75">
      <c r="Q371" s="28"/>
      <c r="Y371" s="28"/>
      <c r="AE371" s="59"/>
      <c r="AH371" s="9"/>
      <c r="AI371" s="9"/>
      <c r="AL371" s="9"/>
      <c r="AM371" s="9"/>
      <c r="AP371" s="9"/>
      <c r="AQ371" s="9"/>
      <c r="AT371" s="9"/>
      <c r="AU371" s="9"/>
      <c r="AX371" s="9"/>
      <c r="AY371" s="9"/>
    </row>
    <row r="372" spans="17:51" ht="12.75">
      <c r="Q372" s="28"/>
      <c r="Y372" s="28"/>
      <c r="AE372" s="59"/>
      <c r="AH372" s="9"/>
      <c r="AI372" s="9"/>
      <c r="AL372" s="9"/>
      <c r="AM372" s="9"/>
      <c r="AP372" s="9"/>
      <c r="AQ372" s="9"/>
      <c r="AT372" s="9"/>
      <c r="AU372" s="9"/>
      <c r="AX372" s="9"/>
      <c r="AY372" s="9"/>
    </row>
    <row r="373" spans="17:51" ht="12.75">
      <c r="Q373" s="28"/>
      <c r="Y373" s="28"/>
      <c r="AE373" s="59"/>
      <c r="AH373" s="9"/>
      <c r="AI373" s="9"/>
      <c r="AL373" s="9"/>
      <c r="AM373" s="9"/>
      <c r="AP373" s="9"/>
      <c r="AQ373" s="9"/>
      <c r="AT373" s="9"/>
      <c r="AU373" s="9"/>
      <c r="AX373" s="9"/>
      <c r="AY373" s="9"/>
    </row>
    <row r="374" spans="17:51" ht="12.75">
      <c r="Q374" s="28"/>
      <c r="Y374" s="28"/>
      <c r="AE374" s="59"/>
      <c r="AH374" s="9"/>
      <c r="AI374" s="9"/>
      <c r="AL374" s="9"/>
      <c r="AM374" s="9"/>
      <c r="AP374" s="9"/>
      <c r="AQ374" s="9"/>
      <c r="AT374" s="9"/>
      <c r="AU374" s="9"/>
      <c r="AX374" s="9"/>
      <c r="AY374" s="9"/>
    </row>
    <row r="375" spans="17:51" ht="12.75">
      <c r="Q375" s="28"/>
      <c r="Y375" s="28"/>
      <c r="AE375" s="59"/>
      <c r="AH375" s="9"/>
      <c r="AI375" s="9"/>
      <c r="AL375" s="9"/>
      <c r="AM375" s="9"/>
      <c r="AP375" s="9"/>
      <c r="AQ375" s="9"/>
      <c r="AT375" s="9"/>
      <c r="AU375" s="9"/>
      <c r="AX375" s="9"/>
      <c r="AY375" s="9"/>
    </row>
    <row r="376" spans="17:51" ht="12.75">
      <c r="Q376" s="28"/>
      <c r="Y376" s="28"/>
      <c r="AE376" s="59"/>
      <c r="AH376" s="9"/>
      <c r="AI376" s="9"/>
      <c r="AL376" s="9"/>
      <c r="AM376" s="9"/>
      <c r="AP376" s="9"/>
      <c r="AQ376" s="9"/>
      <c r="AT376" s="9"/>
      <c r="AU376" s="9"/>
      <c r="AX376" s="9"/>
      <c r="AY376" s="9"/>
    </row>
    <row r="377" spans="17:51" ht="12.75">
      <c r="Q377" s="28"/>
      <c r="Y377" s="28"/>
      <c r="AE377" s="59"/>
      <c r="AH377" s="9"/>
      <c r="AI377" s="9"/>
      <c r="AL377" s="9"/>
      <c r="AM377" s="9"/>
      <c r="AP377" s="9"/>
      <c r="AQ377" s="9"/>
      <c r="AT377" s="9"/>
      <c r="AU377" s="9"/>
      <c r="AX377" s="9"/>
      <c r="AY377" s="9"/>
    </row>
    <row r="378" spans="17:51" ht="12.75">
      <c r="Q378" s="28"/>
      <c r="Y378" s="28"/>
      <c r="AE378" s="59"/>
      <c r="AH378" s="9"/>
      <c r="AI378" s="9"/>
      <c r="AL378" s="9"/>
      <c r="AM378" s="9"/>
      <c r="AP378" s="9"/>
      <c r="AQ378" s="9"/>
      <c r="AT378" s="9"/>
      <c r="AU378" s="9"/>
      <c r="AX378" s="9"/>
      <c r="AY378" s="9"/>
    </row>
    <row r="379" spans="17:51" ht="12.75">
      <c r="Q379" s="28"/>
      <c r="Y379" s="28"/>
      <c r="AE379" s="59"/>
      <c r="AH379" s="9"/>
      <c r="AI379" s="9"/>
      <c r="AL379" s="9"/>
      <c r="AM379" s="9"/>
      <c r="AP379" s="9"/>
      <c r="AQ379" s="9"/>
      <c r="AT379" s="9"/>
      <c r="AU379" s="9"/>
      <c r="AX379" s="9"/>
      <c r="AY379" s="9"/>
    </row>
    <row r="380" spans="17:51" ht="12.75">
      <c r="Q380" s="28"/>
      <c r="Y380" s="28"/>
      <c r="AE380" s="59"/>
      <c r="AH380" s="9"/>
      <c r="AI380" s="9"/>
      <c r="AL380" s="9"/>
      <c r="AM380" s="9"/>
      <c r="AP380" s="9"/>
      <c r="AQ380" s="9"/>
      <c r="AT380" s="9"/>
      <c r="AU380" s="9"/>
      <c r="AX380" s="9"/>
      <c r="AY380" s="9"/>
    </row>
    <row r="381" spans="17:51" ht="12.75">
      <c r="Q381" s="28"/>
      <c r="Y381" s="28"/>
      <c r="AE381" s="59"/>
      <c r="AH381" s="9"/>
      <c r="AI381" s="9"/>
      <c r="AL381" s="9"/>
      <c r="AM381" s="9"/>
      <c r="AP381" s="9"/>
      <c r="AQ381" s="9"/>
      <c r="AT381" s="9"/>
      <c r="AU381" s="9"/>
      <c r="AX381" s="9"/>
      <c r="AY381" s="9"/>
    </row>
    <row r="382" spans="17:51" ht="12.75">
      <c r="Q382" s="28"/>
      <c r="Y382" s="28"/>
      <c r="AE382" s="59"/>
      <c r="AH382" s="9"/>
      <c r="AI382" s="9"/>
      <c r="AL382" s="9"/>
      <c r="AM382" s="9"/>
      <c r="AP382" s="9"/>
      <c r="AQ382" s="9"/>
      <c r="AT382" s="9"/>
      <c r="AU382" s="9"/>
      <c r="AX382" s="9"/>
      <c r="AY382" s="9"/>
    </row>
    <row r="383" spans="17:51" ht="12.75">
      <c r="Q383" s="28"/>
      <c r="Y383" s="28"/>
      <c r="AE383" s="59"/>
      <c r="AH383" s="9"/>
      <c r="AI383" s="9"/>
      <c r="AL383" s="9"/>
      <c r="AM383" s="9"/>
      <c r="AP383" s="9"/>
      <c r="AQ383" s="9"/>
      <c r="AT383" s="9"/>
      <c r="AU383" s="9"/>
      <c r="AX383" s="9"/>
      <c r="AY383" s="9"/>
    </row>
    <row r="384" spans="17:51" ht="12.75">
      <c r="Q384" s="28"/>
      <c r="Y384" s="28"/>
      <c r="AE384" s="59"/>
      <c r="AH384" s="9"/>
      <c r="AI384" s="9"/>
      <c r="AL384" s="9"/>
      <c r="AM384" s="9"/>
      <c r="AP384" s="9"/>
      <c r="AQ384" s="9"/>
      <c r="AT384" s="9"/>
      <c r="AU384" s="9"/>
      <c r="AX384" s="9"/>
      <c r="AY384" s="9"/>
    </row>
    <row r="385" spans="17:51" ht="12.75">
      <c r="Q385" s="28"/>
      <c r="Y385" s="28"/>
      <c r="AE385" s="59"/>
      <c r="AH385" s="9"/>
      <c r="AI385" s="9"/>
      <c r="AL385" s="9"/>
      <c r="AM385" s="9"/>
      <c r="AP385" s="9"/>
      <c r="AQ385" s="9"/>
      <c r="AT385" s="9"/>
      <c r="AU385" s="9"/>
      <c r="AX385" s="9"/>
      <c r="AY385" s="9"/>
    </row>
    <row r="386" spans="17:51" ht="12.75">
      <c r="Q386" s="28"/>
      <c r="Y386" s="28"/>
      <c r="AE386" s="59"/>
      <c r="AH386" s="9"/>
      <c r="AI386" s="9"/>
      <c r="AL386" s="9"/>
      <c r="AM386" s="9"/>
      <c r="AP386" s="9"/>
      <c r="AQ386" s="9"/>
      <c r="AT386" s="9"/>
      <c r="AU386" s="9"/>
      <c r="AX386" s="9"/>
      <c r="AY386" s="9"/>
    </row>
    <row r="387" spans="17:51" ht="12.75">
      <c r="Q387" s="28"/>
      <c r="Y387" s="28"/>
      <c r="AE387" s="59"/>
      <c r="AH387" s="9"/>
      <c r="AI387" s="9"/>
      <c r="AL387" s="9"/>
      <c r="AM387" s="9"/>
      <c r="AP387" s="9"/>
      <c r="AQ387" s="9"/>
      <c r="AT387" s="9"/>
      <c r="AU387" s="9"/>
      <c r="AX387" s="9"/>
      <c r="AY387" s="9"/>
    </row>
    <row r="388" spans="17:51" ht="12.75">
      <c r="Q388" s="28"/>
      <c r="Y388" s="28"/>
      <c r="AE388" s="59"/>
      <c r="AH388" s="9"/>
      <c r="AI388" s="9"/>
      <c r="AL388" s="9"/>
      <c r="AM388" s="9"/>
      <c r="AP388" s="9"/>
      <c r="AQ388" s="9"/>
      <c r="AT388" s="9"/>
      <c r="AU388" s="9"/>
      <c r="AX388" s="9"/>
      <c r="AY388" s="9"/>
    </row>
    <row r="389" spans="17:51" ht="12.75">
      <c r="Q389" s="28"/>
      <c r="Y389" s="28"/>
      <c r="AE389" s="59"/>
      <c r="AH389" s="9"/>
      <c r="AI389" s="9"/>
      <c r="AL389" s="9"/>
      <c r="AM389" s="9"/>
      <c r="AP389" s="9"/>
      <c r="AQ389" s="9"/>
      <c r="AT389" s="9"/>
      <c r="AU389" s="9"/>
      <c r="AX389" s="9"/>
      <c r="AY389" s="9"/>
    </row>
    <row r="390" spans="17:51" ht="12.75">
      <c r="Q390" s="28"/>
      <c r="Y390" s="28"/>
      <c r="AE390" s="59"/>
      <c r="AH390" s="9"/>
      <c r="AI390" s="9"/>
      <c r="AL390" s="9"/>
      <c r="AM390" s="9"/>
      <c r="AP390" s="9"/>
      <c r="AQ390" s="9"/>
      <c r="AT390" s="9"/>
      <c r="AU390" s="9"/>
      <c r="AX390" s="9"/>
      <c r="AY390" s="9"/>
    </row>
    <row r="391" spans="17:51" ht="12.75">
      <c r="Q391" s="28"/>
      <c r="Y391" s="28"/>
      <c r="AE391" s="59"/>
      <c r="AH391" s="9"/>
      <c r="AI391" s="9"/>
      <c r="AL391" s="9"/>
      <c r="AM391" s="9"/>
      <c r="AP391" s="9"/>
      <c r="AQ391" s="9"/>
      <c r="AT391" s="9"/>
      <c r="AU391" s="9"/>
      <c r="AX391" s="9"/>
      <c r="AY391" s="9"/>
    </row>
    <row r="392" spans="17:51" ht="12.75">
      <c r="Q392" s="28"/>
      <c r="Y392" s="28"/>
      <c r="AE392" s="59"/>
      <c r="AH392" s="9"/>
      <c r="AI392" s="9"/>
      <c r="AL392" s="9"/>
      <c r="AM392" s="9"/>
      <c r="AP392" s="9"/>
      <c r="AQ392" s="9"/>
      <c r="AT392" s="9"/>
      <c r="AU392" s="9"/>
      <c r="AX392" s="9"/>
      <c r="AY392" s="9"/>
    </row>
    <row r="393" spans="17:51" ht="12.75">
      <c r="Q393" s="28"/>
      <c r="Y393" s="28"/>
      <c r="AE393" s="59"/>
      <c r="AH393" s="9"/>
      <c r="AI393" s="9"/>
      <c r="AL393" s="9"/>
      <c r="AM393" s="9"/>
      <c r="AP393" s="9"/>
      <c r="AQ393" s="9"/>
      <c r="AT393" s="9"/>
      <c r="AU393" s="9"/>
      <c r="AX393" s="9"/>
      <c r="AY393" s="9"/>
    </row>
    <row r="394" spans="17:51" ht="12.75">
      <c r="Q394" s="28"/>
      <c r="Y394" s="28"/>
      <c r="AE394" s="59"/>
      <c r="AH394" s="9"/>
      <c r="AI394" s="9"/>
      <c r="AL394" s="9"/>
      <c r="AM394" s="9"/>
      <c r="AP394" s="9"/>
      <c r="AQ394" s="9"/>
      <c r="AT394" s="9"/>
      <c r="AU394" s="9"/>
      <c r="AX394" s="9"/>
      <c r="AY394" s="9"/>
    </row>
    <row r="395" spans="17:51" ht="12.75">
      <c r="Q395" s="28"/>
      <c r="Y395" s="28"/>
      <c r="AE395" s="59"/>
      <c r="AH395" s="9"/>
      <c r="AI395" s="9"/>
      <c r="AL395" s="9"/>
      <c r="AM395" s="9"/>
      <c r="AP395" s="9"/>
      <c r="AQ395" s="9"/>
      <c r="AT395" s="9"/>
      <c r="AU395" s="9"/>
      <c r="AX395" s="9"/>
      <c r="AY395" s="9"/>
    </row>
    <row r="396" spans="17:51" ht="12.75">
      <c r="Q396" s="28"/>
      <c r="Y396" s="28"/>
      <c r="AE396" s="59"/>
      <c r="AH396" s="9"/>
      <c r="AI396" s="9"/>
      <c r="AL396" s="9"/>
      <c r="AM396" s="9"/>
      <c r="AP396" s="9"/>
      <c r="AQ396" s="9"/>
      <c r="AT396" s="9"/>
      <c r="AU396" s="9"/>
      <c r="AX396" s="9"/>
      <c r="AY396" s="9"/>
    </row>
    <row r="397" spans="17:51" ht="12.75">
      <c r="Q397" s="28"/>
      <c r="Y397" s="28"/>
      <c r="AE397" s="59"/>
      <c r="AH397" s="9"/>
      <c r="AI397" s="9"/>
      <c r="AL397" s="9"/>
      <c r="AM397" s="9"/>
      <c r="AP397" s="9"/>
      <c r="AQ397" s="9"/>
      <c r="AT397" s="9"/>
      <c r="AU397" s="9"/>
      <c r="AX397" s="9"/>
      <c r="AY397" s="9"/>
    </row>
    <row r="398" spans="17:51" ht="12.75">
      <c r="Q398" s="28"/>
      <c r="Y398" s="28"/>
      <c r="AE398" s="59"/>
      <c r="AH398" s="9"/>
      <c r="AI398" s="9"/>
      <c r="AL398" s="9"/>
      <c r="AM398" s="9"/>
      <c r="AP398" s="9"/>
      <c r="AQ398" s="9"/>
      <c r="AT398" s="9"/>
      <c r="AU398" s="9"/>
      <c r="AX398" s="9"/>
      <c r="AY398" s="9"/>
    </row>
    <row r="399" spans="17:51" ht="12.75">
      <c r="Q399" s="28"/>
      <c r="Y399" s="28"/>
      <c r="AE399" s="59"/>
      <c r="AH399" s="9"/>
      <c r="AI399" s="9"/>
      <c r="AL399" s="9"/>
      <c r="AM399" s="9"/>
      <c r="AP399" s="9"/>
      <c r="AQ399" s="9"/>
      <c r="AT399" s="9"/>
      <c r="AU399" s="9"/>
      <c r="AX399" s="9"/>
      <c r="AY399" s="9"/>
    </row>
    <row r="400" spans="17:51" ht="12.75">
      <c r="Q400" s="28"/>
      <c r="Y400" s="28"/>
      <c r="AE400" s="59"/>
      <c r="AH400" s="9"/>
      <c r="AI400" s="9"/>
      <c r="AL400" s="9"/>
      <c r="AM400" s="9"/>
      <c r="AP400" s="9"/>
      <c r="AQ400" s="9"/>
      <c r="AT400" s="9"/>
      <c r="AU400" s="9"/>
      <c r="AX400" s="9"/>
      <c r="AY400" s="9"/>
    </row>
    <row r="401" spans="17:51" ht="12.75">
      <c r="Q401" s="28"/>
      <c r="Y401" s="28"/>
      <c r="AE401" s="59"/>
      <c r="AH401" s="9"/>
      <c r="AI401" s="9"/>
      <c r="AL401" s="9"/>
      <c r="AM401" s="9"/>
      <c r="AP401" s="9"/>
      <c r="AQ401" s="9"/>
      <c r="AT401" s="9"/>
      <c r="AU401" s="9"/>
      <c r="AX401" s="9"/>
      <c r="AY401" s="9"/>
    </row>
    <row r="402" spans="17:51" ht="12.75">
      <c r="Q402" s="28"/>
      <c r="Y402" s="28"/>
      <c r="AE402" s="59"/>
      <c r="AH402" s="9"/>
      <c r="AI402" s="9"/>
      <c r="AL402" s="9"/>
      <c r="AM402" s="9"/>
      <c r="AP402" s="9"/>
      <c r="AQ402" s="9"/>
      <c r="AT402" s="9"/>
      <c r="AU402" s="9"/>
      <c r="AX402" s="9"/>
      <c r="AY402" s="9"/>
    </row>
    <row r="403" spans="17:51" ht="12.75">
      <c r="Q403" s="28"/>
      <c r="Y403" s="28"/>
      <c r="AE403" s="59"/>
      <c r="AH403" s="9"/>
      <c r="AI403" s="9"/>
      <c r="AL403" s="9"/>
      <c r="AM403" s="9"/>
      <c r="AP403" s="9"/>
      <c r="AQ403" s="9"/>
      <c r="AT403" s="9"/>
      <c r="AU403" s="9"/>
      <c r="AX403" s="9"/>
      <c r="AY403" s="9"/>
    </row>
    <row r="404" spans="17:51" ht="12.75">
      <c r="Q404" s="28"/>
      <c r="Y404" s="28"/>
      <c r="AE404" s="59"/>
      <c r="AH404" s="9"/>
      <c r="AI404" s="9"/>
      <c r="AL404" s="9"/>
      <c r="AM404" s="9"/>
      <c r="AP404" s="9"/>
      <c r="AQ404" s="9"/>
      <c r="AT404" s="9"/>
      <c r="AU404" s="9"/>
      <c r="AX404" s="9"/>
      <c r="AY404" s="9"/>
    </row>
    <row r="405" spans="17:51" ht="12.75">
      <c r="Q405" s="28"/>
      <c r="Y405" s="28"/>
      <c r="AE405" s="59"/>
      <c r="AH405" s="9"/>
      <c r="AI405" s="9"/>
      <c r="AL405" s="9"/>
      <c r="AM405" s="9"/>
      <c r="AP405" s="9"/>
      <c r="AQ405" s="9"/>
      <c r="AT405" s="9"/>
      <c r="AU405" s="9"/>
      <c r="AX405" s="9"/>
      <c r="AY405" s="9"/>
    </row>
    <row r="406" spans="17:51" ht="12.75">
      <c r="Q406" s="28"/>
      <c r="Y406" s="28"/>
      <c r="AE406" s="59"/>
      <c r="AH406" s="9"/>
      <c r="AI406" s="9"/>
      <c r="AL406" s="9"/>
      <c r="AM406" s="9"/>
      <c r="AP406" s="9"/>
      <c r="AQ406" s="9"/>
      <c r="AT406" s="9"/>
      <c r="AU406" s="9"/>
      <c r="AX406" s="9"/>
      <c r="AY406" s="9"/>
    </row>
    <row r="407" spans="17:51" ht="12.75">
      <c r="Q407" s="28"/>
      <c r="Y407" s="28"/>
      <c r="AE407" s="59"/>
      <c r="AH407" s="9"/>
      <c r="AI407" s="9"/>
      <c r="AL407" s="9"/>
      <c r="AM407" s="9"/>
      <c r="AP407" s="9"/>
      <c r="AQ407" s="9"/>
      <c r="AT407" s="9"/>
      <c r="AU407" s="9"/>
      <c r="AX407" s="9"/>
      <c r="AY407" s="9"/>
    </row>
    <row r="408" spans="17:51" ht="12.75">
      <c r="Q408" s="28"/>
      <c r="Y408" s="28"/>
      <c r="AE408" s="59"/>
      <c r="AH408" s="9"/>
      <c r="AI408" s="9"/>
      <c r="AL408" s="9"/>
      <c r="AM408" s="9"/>
      <c r="AP408" s="9"/>
      <c r="AQ408" s="9"/>
      <c r="AT408" s="9"/>
      <c r="AU408" s="9"/>
      <c r="AX408" s="9"/>
      <c r="AY408" s="9"/>
    </row>
    <row r="409" spans="17:51" ht="12.75">
      <c r="Q409" s="28"/>
      <c r="Y409" s="28"/>
      <c r="AE409" s="59"/>
      <c r="AH409" s="9"/>
      <c r="AI409" s="9"/>
      <c r="AL409" s="9"/>
      <c r="AM409" s="9"/>
      <c r="AP409" s="9"/>
      <c r="AQ409" s="9"/>
      <c r="AT409" s="9"/>
      <c r="AU409" s="9"/>
      <c r="AX409" s="9"/>
      <c r="AY409" s="9"/>
    </row>
    <row r="410" spans="17:51" ht="12.75">
      <c r="Q410" s="28"/>
      <c r="Y410" s="28"/>
      <c r="AE410" s="59"/>
      <c r="AH410" s="9"/>
      <c r="AI410" s="9"/>
      <c r="AL410" s="9"/>
      <c r="AM410" s="9"/>
      <c r="AP410" s="9"/>
      <c r="AQ410" s="9"/>
      <c r="AT410" s="9"/>
      <c r="AU410" s="9"/>
      <c r="AX410" s="9"/>
      <c r="AY410" s="9"/>
    </row>
    <row r="411" spans="17:51" ht="12.75">
      <c r="Q411" s="28"/>
      <c r="Y411" s="28"/>
      <c r="AE411" s="59"/>
      <c r="AH411" s="9"/>
      <c r="AI411" s="9"/>
      <c r="AL411" s="9"/>
      <c r="AM411" s="9"/>
      <c r="AP411" s="9"/>
      <c r="AQ411" s="9"/>
      <c r="AT411" s="9"/>
      <c r="AU411" s="9"/>
      <c r="AX411" s="9"/>
      <c r="AY411" s="9"/>
    </row>
    <row r="412" spans="17:51" ht="12.75">
      <c r="Q412" s="28"/>
      <c r="Y412" s="28"/>
      <c r="AE412" s="59"/>
      <c r="AH412" s="9"/>
      <c r="AI412" s="9"/>
      <c r="AL412" s="9"/>
      <c r="AM412" s="9"/>
      <c r="AP412" s="9"/>
      <c r="AQ412" s="9"/>
      <c r="AT412" s="9"/>
      <c r="AU412" s="9"/>
      <c r="AX412" s="9"/>
      <c r="AY412" s="9"/>
    </row>
    <row r="413" spans="17:51" ht="12.75">
      <c r="Q413" s="28"/>
      <c r="Y413" s="28"/>
      <c r="AE413" s="59"/>
      <c r="AH413" s="9"/>
      <c r="AI413" s="9"/>
      <c r="AL413" s="9"/>
      <c r="AM413" s="9"/>
      <c r="AP413" s="9"/>
      <c r="AQ413" s="9"/>
      <c r="AT413" s="9"/>
      <c r="AU413" s="9"/>
      <c r="AX413" s="9"/>
      <c r="AY413" s="9"/>
    </row>
    <row r="414" spans="17:51" ht="12.75">
      <c r="Q414" s="28"/>
      <c r="Y414" s="28"/>
      <c r="AE414" s="59"/>
      <c r="AH414" s="9"/>
      <c r="AI414" s="9"/>
      <c r="AL414" s="9"/>
      <c r="AM414" s="9"/>
      <c r="AP414" s="9"/>
      <c r="AQ414" s="9"/>
      <c r="AT414" s="9"/>
      <c r="AU414" s="9"/>
      <c r="AX414" s="9"/>
      <c r="AY414" s="9"/>
    </row>
    <row r="415" spans="17:51" ht="12.75">
      <c r="Q415" s="28"/>
      <c r="Y415" s="28"/>
      <c r="AE415" s="59"/>
      <c r="AH415" s="9"/>
      <c r="AI415" s="9"/>
      <c r="AL415" s="9"/>
      <c r="AM415" s="9"/>
      <c r="AP415" s="9"/>
      <c r="AQ415" s="9"/>
      <c r="AT415" s="9"/>
      <c r="AU415" s="9"/>
      <c r="AX415" s="9"/>
      <c r="AY415" s="9"/>
    </row>
    <row r="416" spans="17:51" ht="12.75">
      <c r="Q416" s="28"/>
      <c r="Y416" s="28"/>
      <c r="AE416" s="59"/>
      <c r="AH416" s="9"/>
      <c r="AI416" s="9"/>
      <c r="AL416" s="9"/>
      <c r="AM416" s="9"/>
      <c r="AP416" s="9"/>
      <c r="AQ416" s="9"/>
      <c r="AT416" s="9"/>
      <c r="AU416" s="9"/>
      <c r="AX416" s="9"/>
      <c r="AY416" s="9"/>
    </row>
    <row r="417" spans="17:51" ht="12.75">
      <c r="Q417" s="28"/>
      <c r="Y417" s="28"/>
      <c r="AE417" s="59"/>
      <c r="AH417" s="9"/>
      <c r="AI417" s="9"/>
      <c r="AL417" s="9"/>
      <c r="AM417" s="9"/>
      <c r="AP417" s="9"/>
      <c r="AQ417" s="9"/>
      <c r="AT417" s="9"/>
      <c r="AU417" s="9"/>
      <c r="AX417" s="9"/>
      <c r="AY417" s="9"/>
    </row>
    <row r="418" spans="17:51" ht="12.75">
      <c r="Q418" s="28"/>
      <c r="Y418" s="28"/>
      <c r="AE418" s="59"/>
      <c r="AH418" s="9"/>
      <c r="AI418" s="9"/>
      <c r="AL418" s="9"/>
      <c r="AM418" s="9"/>
      <c r="AP418" s="9"/>
      <c r="AQ418" s="9"/>
      <c r="AT418" s="9"/>
      <c r="AU418" s="9"/>
      <c r="AX418" s="9"/>
      <c r="AY418" s="9"/>
    </row>
    <row r="419" spans="17:51" ht="12.75">
      <c r="Q419" s="28"/>
      <c r="Y419" s="28"/>
      <c r="AE419" s="59"/>
      <c r="AH419" s="9"/>
      <c r="AI419" s="9"/>
      <c r="AL419" s="9"/>
      <c r="AM419" s="9"/>
      <c r="AP419" s="9"/>
      <c r="AQ419" s="9"/>
      <c r="AT419" s="9"/>
      <c r="AU419" s="9"/>
      <c r="AX419" s="9"/>
      <c r="AY419" s="9"/>
    </row>
    <row r="420" spans="17:51" ht="12.75">
      <c r="Q420" s="28"/>
      <c r="Y420" s="28"/>
      <c r="AE420" s="59"/>
      <c r="AH420" s="9"/>
      <c r="AI420" s="9"/>
      <c r="AL420" s="9"/>
      <c r="AM420" s="9"/>
      <c r="AP420" s="9"/>
      <c r="AQ420" s="9"/>
      <c r="AT420" s="9"/>
      <c r="AU420" s="9"/>
      <c r="AX420" s="9"/>
      <c r="AY420" s="9"/>
    </row>
    <row r="421" spans="17:51" ht="12.75">
      <c r="Q421" s="28"/>
      <c r="Y421" s="28"/>
      <c r="AE421" s="59"/>
      <c r="AH421" s="9"/>
      <c r="AI421" s="9"/>
      <c r="AL421" s="9"/>
      <c r="AM421" s="9"/>
      <c r="AP421" s="9"/>
      <c r="AQ421" s="9"/>
      <c r="AT421" s="9"/>
      <c r="AU421" s="9"/>
      <c r="AX421" s="9"/>
      <c r="AY421" s="9"/>
    </row>
    <row r="422" spans="17:51" ht="12.75">
      <c r="Q422" s="28"/>
      <c r="Y422" s="28"/>
      <c r="AE422" s="59"/>
      <c r="AH422" s="9"/>
      <c r="AI422" s="9"/>
      <c r="AL422" s="9"/>
      <c r="AM422" s="9"/>
      <c r="AP422" s="9"/>
      <c r="AQ422" s="9"/>
      <c r="AT422" s="9"/>
      <c r="AU422" s="9"/>
      <c r="AX422" s="9"/>
      <c r="AY422" s="9"/>
    </row>
    <row r="423" spans="17:51" ht="12.75">
      <c r="Q423" s="28"/>
      <c r="Y423" s="28"/>
      <c r="AE423" s="59"/>
      <c r="AH423" s="9"/>
      <c r="AI423" s="9"/>
      <c r="AL423" s="9"/>
      <c r="AM423" s="9"/>
      <c r="AP423" s="9"/>
      <c r="AQ423" s="9"/>
      <c r="AT423" s="9"/>
      <c r="AU423" s="9"/>
      <c r="AX423" s="9"/>
      <c r="AY423" s="9"/>
    </row>
    <row r="424" spans="17:51" ht="12.75">
      <c r="Q424" s="28"/>
      <c r="Y424" s="28"/>
      <c r="AE424" s="59"/>
      <c r="AH424" s="9"/>
      <c r="AI424" s="9"/>
      <c r="AL424" s="9"/>
      <c r="AM424" s="9"/>
      <c r="AP424" s="9"/>
      <c r="AQ424" s="9"/>
      <c r="AT424" s="9"/>
      <c r="AU424" s="9"/>
      <c r="AX424" s="9"/>
      <c r="AY424" s="9"/>
    </row>
    <row r="425" spans="17:51" ht="12.75">
      <c r="Q425" s="28"/>
      <c r="Y425" s="28"/>
      <c r="AE425" s="59"/>
      <c r="AH425" s="9"/>
      <c r="AI425" s="9"/>
      <c r="AL425" s="9"/>
      <c r="AM425" s="9"/>
      <c r="AP425" s="9"/>
      <c r="AQ425" s="9"/>
      <c r="AT425" s="9"/>
      <c r="AU425" s="9"/>
      <c r="AX425" s="9"/>
      <c r="AY425" s="9"/>
    </row>
    <row r="426" spans="17:51" ht="12.75">
      <c r="Q426" s="28"/>
      <c r="Y426" s="28"/>
      <c r="AE426" s="59"/>
      <c r="AH426" s="9"/>
      <c r="AI426" s="9"/>
      <c r="AL426" s="9"/>
      <c r="AM426" s="9"/>
      <c r="AP426" s="9"/>
      <c r="AQ426" s="9"/>
      <c r="AT426" s="9"/>
      <c r="AU426" s="9"/>
      <c r="AX426" s="9"/>
      <c r="AY426" s="9"/>
    </row>
    <row r="427" spans="17:51" ht="12.75">
      <c r="Q427" s="28"/>
      <c r="Y427" s="28"/>
      <c r="AE427" s="59"/>
      <c r="AH427" s="9"/>
      <c r="AI427" s="9"/>
      <c r="AL427" s="9"/>
      <c r="AM427" s="9"/>
      <c r="AP427" s="9"/>
      <c r="AQ427" s="9"/>
      <c r="AT427" s="9"/>
      <c r="AU427" s="9"/>
      <c r="AX427" s="9"/>
      <c r="AY427" s="9"/>
    </row>
    <row r="428" spans="17:51" ht="12.75">
      <c r="Q428" s="28"/>
      <c r="Y428" s="28"/>
      <c r="AE428" s="59"/>
      <c r="AH428" s="9"/>
      <c r="AI428" s="9"/>
      <c r="AL428" s="9"/>
      <c r="AM428" s="9"/>
      <c r="AP428" s="9"/>
      <c r="AQ428" s="9"/>
      <c r="AT428" s="9"/>
      <c r="AU428" s="9"/>
      <c r="AX428" s="9"/>
      <c r="AY428" s="9"/>
    </row>
    <row r="429" spans="17:51" ht="12.75">
      <c r="Q429" s="28"/>
      <c r="Y429" s="28"/>
      <c r="AE429" s="59"/>
      <c r="AH429" s="9"/>
      <c r="AI429" s="9"/>
      <c r="AL429" s="9"/>
      <c r="AM429" s="9"/>
      <c r="AP429" s="9"/>
      <c r="AQ429" s="9"/>
      <c r="AT429" s="9"/>
      <c r="AU429" s="9"/>
      <c r="AX429" s="9"/>
      <c r="AY429" s="9"/>
    </row>
    <row r="430" spans="17:51" ht="12.75">
      <c r="Q430" s="28"/>
      <c r="Y430" s="28"/>
      <c r="AE430" s="59"/>
      <c r="AH430" s="9"/>
      <c r="AI430" s="9"/>
      <c r="AL430" s="9"/>
      <c r="AM430" s="9"/>
      <c r="AP430" s="9"/>
      <c r="AQ430" s="9"/>
      <c r="AT430" s="9"/>
      <c r="AU430" s="9"/>
      <c r="AX430" s="9"/>
      <c r="AY430" s="9"/>
    </row>
    <row r="431" spans="17:51" ht="12.75">
      <c r="Q431" s="28"/>
      <c r="Y431" s="28"/>
      <c r="AE431" s="59"/>
      <c r="AH431" s="9"/>
      <c r="AI431" s="9"/>
      <c r="AL431" s="9"/>
      <c r="AM431" s="9"/>
      <c r="AP431" s="9"/>
      <c r="AQ431" s="9"/>
      <c r="AT431" s="9"/>
      <c r="AU431" s="9"/>
      <c r="AX431" s="9"/>
      <c r="AY431" s="9"/>
    </row>
    <row r="432" spans="17:51" ht="12.75">
      <c r="Q432" s="28"/>
      <c r="Y432" s="28"/>
      <c r="AE432" s="59"/>
      <c r="AH432" s="9"/>
      <c r="AI432" s="9"/>
      <c r="AL432" s="9"/>
      <c r="AM432" s="9"/>
      <c r="AP432" s="9"/>
      <c r="AQ432" s="9"/>
      <c r="AT432" s="9"/>
      <c r="AU432" s="9"/>
      <c r="AX432" s="9"/>
      <c r="AY432" s="9"/>
    </row>
    <row r="433" spans="17:51" ht="12.75">
      <c r="Q433" s="28"/>
      <c r="Y433" s="28"/>
      <c r="AE433" s="59"/>
      <c r="AH433" s="9"/>
      <c r="AI433" s="9"/>
      <c r="AL433" s="9"/>
      <c r="AM433" s="9"/>
      <c r="AP433" s="9"/>
      <c r="AQ433" s="9"/>
      <c r="AT433" s="9"/>
      <c r="AU433" s="9"/>
      <c r="AX433" s="9"/>
      <c r="AY433" s="9"/>
    </row>
    <row r="434" spans="17:51" ht="12.75">
      <c r="Q434" s="28"/>
      <c r="Y434" s="28"/>
      <c r="AE434" s="59"/>
      <c r="AH434" s="9"/>
      <c r="AI434" s="9"/>
      <c r="AL434" s="9"/>
      <c r="AM434" s="9"/>
      <c r="AP434" s="9"/>
      <c r="AQ434" s="9"/>
      <c r="AT434" s="9"/>
      <c r="AU434" s="9"/>
      <c r="AX434" s="9"/>
      <c r="AY434" s="9"/>
    </row>
    <row r="435" spans="17:51" ht="12.75">
      <c r="Q435" s="28"/>
      <c r="Y435" s="28"/>
      <c r="AE435" s="59"/>
      <c r="AH435" s="9"/>
      <c r="AI435" s="9"/>
      <c r="AL435" s="9"/>
      <c r="AM435" s="9"/>
      <c r="AP435" s="9"/>
      <c r="AQ435" s="9"/>
      <c r="AT435" s="9"/>
      <c r="AU435" s="9"/>
      <c r="AX435" s="9"/>
      <c r="AY435" s="9"/>
    </row>
    <row r="436" spans="17:51" ht="12.75">
      <c r="Q436" s="28"/>
      <c r="Y436" s="28"/>
      <c r="AE436" s="59"/>
      <c r="AH436" s="9"/>
      <c r="AI436" s="9"/>
      <c r="AL436" s="9"/>
      <c r="AM436" s="9"/>
      <c r="AP436" s="9"/>
      <c r="AQ436" s="9"/>
      <c r="AT436" s="9"/>
      <c r="AU436" s="9"/>
      <c r="AX436" s="9"/>
      <c r="AY436" s="9"/>
    </row>
    <row r="437" spans="17:51" ht="12.75">
      <c r="Q437" s="28"/>
      <c r="Y437" s="28"/>
      <c r="AE437" s="59"/>
      <c r="AH437" s="9"/>
      <c r="AI437" s="9"/>
      <c r="AL437" s="9"/>
      <c r="AM437" s="9"/>
      <c r="AP437" s="9"/>
      <c r="AQ437" s="9"/>
      <c r="AT437" s="9"/>
      <c r="AU437" s="9"/>
      <c r="AX437" s="9"/>
      <c r="AY437" s="9"/>
    </row>
    <row r="438" spans="17:51" ht="12.75">
      <c r="Q438" s="28"/>
      <c r="Y438" s="28"/>
      <c r="AE438" s="59"/>
      <c r="AH438" s="9"/>
      <c r="AI438" s="9"/>
      <c r="AL438" s="9"/>
      <c r="AM438" s="9"/>
      <c r="AP438" s="9"/>
      <c r="AQ438" s="9"/>
      <c r="AT438" s="9"/>
      <c r="AU438" s="9"/>
      <c r="AX438" s="9"/>
      <c r="AY438" s="9"/>
    </row>
    <row r="439" spans="17:51" ht="12.75">
      <c r="Q439" s="28"/>
      <c r="Y439" s="28"/>
      <c r="AE439" s="59"/>
      <c r="AH439" s="9"/>
      <c r="AI439" s="9"/>
      <c r="AL439" s="9"/>
      <c r="AM439" s="9"/>
      <c r="AP439" s="9"/>
      <c r="AQ439" s="9"/>
      <c r="AT439" s="9"/>
      <c r="AU439" s="9"/>
      <c r="AX439" s="9"/>
      <c r="AY439" s="9"/>
    </row>
    <row r="440" spans="17:51" ht="12.75">
      <c r="Q440" s="28"/>
      <c r="Y440" s="28"/>
      <c r="AE440" s="59"/>
      <c r="AH440" s="9"/>
      <c r="AI440" s="9"/>
      <c r="AL440" s="9"/>
      <c r="AM440" s="9"/>
      <c r="AP440" s="9"/>
      <c r="AQ440" s="9"/>
      <c r="AT440" s="9"/>
      <c r="AU440" s="9"/>
      <c r="AX440" s="9"/>
      <c r="AY440" s="9"/>
    </row>
    <row r="441" spans="17:51" ht="12.75">
      <c r="Q441" s="28"/>
      <c r="Y441" s="28"/>
      <c r="AE441" s="59"/>
      <c r="AH441" s="9"/>
      <c r="AI441" s="9"/>
      <c r="AL441" s="9"/>
      <c r="AM441" s="9"/>
      <c r="AP441" s="9"/>
      <c r="AQ441" s="9"/>
      <c r="AT441" s="9"/>
      <c r="AU441" s="9"/>
      <c r="AX441" s="9"/>
      <c r="AY441" s="9"/>
    </row>
    <row r="442" spans="17:51" ht="12.75">
      <c r="Q442" s="28"/>
      <c r="Y442" s="28"/>
      <c r="AE442" s="59"/>
      <c r="AH442" s="9"/>
      <c r="AI442" s="9"/>
      <c r="AL442" s="9"/>
      <c r="AM442" s="9"/>
      <c r="AP442" s="9"/>
      <c r="AQ442" s="9"/>
      <c r="AT442" s="9"/>
      <c r="AU442" s="9"/>
      <c r="AX442" s="9"/>
      <c r="AY442" s="9"/>
    </row>
    <row r="443" spans="17:51" ht="12.75">
      <c r="Q443" s="28"/>
      <c r="Y443" s="28"/>
      <c r="AE443" s="59"/>
      <c r="AH443" s="9"/>
      <c r="AI443" s="9"/>
      <c r="AL443" s="9"/>
      <c r="AM443" s="9"/>
      <c r="AP443" s="9"/>
      <c r="AQ443" s="9"/>
      <c r="AT443" s="9"/>
      <c r="AU443" s="9"/>
      <c r="AX443" s="9"/>
      <c r="AY443" s="9"/>
    </row>
    <row r="444" spans="17:51" ht="12.75">
      <c r="Q444" s="28"/>
      <c r="Y444" s="28"/>
      <c r="AE444" s="59"/>
      <c r="AH444" s="9"/>
      <c r="AI444" s="9"/>
      <c r="AL444" s="9"/>
      <c r="AM444" s="9"/>
      <c r="AP444" s="9"/>
      <c r="AQ444" s="9"/>
      <c r="AT444" s="9"/>
      <c r="AU444" s="9"/>
      <c r="AX444" s="9"/>
      <c r="AY444" s="9"/>
    </row>
    <row r="445" spans="17:51" ht="12.75">
      <c r="Q445" s="28"/>
      <c r="Y445" s="28"/>
      <c r="AE445" s="59"/>
      <c r="AH445" s="9"/>
      <c r="AI445" s="9"/>
      <c r="AL445" s="9"/>
      <c r="AM445" s="9"/>
      <c r="AP445" s="9"/>
      <c r="AQ445" s="9"/>
      <c r="AT445" s="9"/>
      <c r="AU445" s="9"/>
      <c r="AX445" s="9"/>
      <c r="AY445" s="9"/>
    </row>
    <row r="446" spans="17:51" ht="12.75">
      <c r="Q446" s="28"/>
      <c r="Y446" s="28"/>
      <c r="AE446" s="59"/>
      <c r="AH446" s="9"/>
      <c r="AI446" s="9"/>
      <c r="AL446" s="9"/>
      <c r="AM446" s="9"/>
      <c r="AP446" s="9"/>
      <c r="AQ446" s="9"/>
      <c r="AT446" s="9"/>
      <c r="AU446" s="9"/>
      <c r="AX446" s="9"/>
      <c r="AY446" s="9"/>
    </row>
    <row r="447" spans="17:51" ht="12.75">
      <c r="Q447" s="28"/>
      <c r="Y447" s="28"/>
      <c r="AE447" s="59"/>
      <c r="AH447" s="9"/>
      <c r="AI447" s="9"/>
      <c r="AL447" s="9"/>
      <c r="AM447" s="9"/>
      <c r="AP447" s="9"/>
      <c r="AQ447" s="9"/>
      <c r="AT447" s="9"/>
      <c r="AU447" s="9"/>
      <c r="AX447" s="9"/>
      <c r="AY447" s="9"/>
    </row>
    <row r="448" spans="17:51" ht="12.75">
      <c r="Q448" s="28"/>
      <c r="Y448" s="28"/>
      <c r="AE448" s="59"/>
      <c r="AH448" s="9"/>
      <c r="AI448" s="9"/>
      <c r="AL448" s="9"/>
      <c r="AM448" s="9"/>
      <c r="AP448" s="9"/>
      <c r="AQ448" s="9"/>
      <c r="AT448" s="9"/>
      <c r="AU448" s="9"/>
      <c r="AX448" s="9"/>
      <c r="AY448" s="9"/>
    </row>
    <row r="449" spans="17:51" ht="12.75">
      <c r="Q449" s="28"/>
      <c r="Y449" s="28"/>
      <c r="AE449" s="59"/>
      <c r="AH449" s="9"/>
      <c r="AI449" s="9"/>
      <c r="AL449" s="9"/>
      <c r="AM449" s="9"/>
      <c r="AP449" s="9"/>
      <c r="AQ449" s="9"/>
      <c r="AT449" s="9"/>
      <c r="AU449" s="9"/>
      <c r="AX449" s="9"/>
      <c r="AY449" s="9"/>
    </row>
    <row r="450" spans="17:51" ht="12.75">
      <c r="Q450" s="28"/>
      <c r="Y450" s="28"/>
      <c r="AE450" s="59"/>
      <c r="AH450" s="9"/>
      <c r="AI450" s="9"/>
      <c r="AL450" s="9"/>
      <c r="AM450" s="9"/>
      <c r="AP450" s="9"/>
      <c r="AQ450" s="9"/>
      <c r="AT450" s="9"/>
      <c r="AU450" s="9"/>
      <c r="AX450" s="9"/>
      <c r="AY450" s="9"/>
    </row>
    <row r="451" spans="17:51" ht="12.75">
      <c r="Q451" s="28"/>
      <c r="Y451" s="28"/>
      <c r="AE451" s="59"/>
      <c r="AH451" s="9"/>
      <c r="AI451" s="9"/>
      <c r="AL451" s="9"/>
      <c r="AM451" s="9"/>
      <c r="AP451" s="9"/>
      <c r="AQ451" s="9"/>
      <c r="AT451" s="9"/>
      <c r="AU451" s="9"/>
      <c r="AX451" s="9"/>
      <c r="AY451" s="9"/>
    </row>
    <row r="452" spans="17:51" ht="12.75">
      <c r="Q452" s="28"/>
      <c r="Y452" s="28"/>
      <c r="AE452" s="59"/>
      <c r="AH452" s="9"/>
      <c r="AI452" s="9"/>
      <c r="AL452" s="9"/>
      <c r="AM452" s="9"/>
      <c r="AP452" s="9"/>
      <c r="AQ452" s="9"/>
      <c r="AT452" s="9"/>
      <c r="AU452" s="9"/>
      <c r="AX452" s="9"/>
      <c r="AY452" s="9"/>
    </row>
    <row r="453" spans="17:51" ht="12.75">
      <c r="Q453" s="28"/>
      <c r="Y453" s="28"/>
      <c r="AE453" s="59"/>
      <c r="AH453" s="9"/>
      <c r="AI453" s="9"/>
      <c r="AL453" s="9"/>
      <c r="AM453" s="9"/>
      <c r="AP453" s="9"/>
      <c r="AQ453" s="9"/>
      <c r="AT453" s="9"/>
      <c r="AU453" s="9"/>
      <c r="AX453" s="9"/>
      <c r="AY453" s="9"/>
    </row>
    <row r="454" spans="17:51" ht="12.75">
      <c r="Q454" s="28"/>
      <c r="Y454" s="28"/>
      <c r="AE454" s="59"/>
      <c r="AH454" s="9"/>
      <c r="AI454" s="9"/>
      <c r="AL454" s="9"/>
      <c r="AM454" s="9"/>
      <c r="AP454" s="9"/>
      <c r="AQ454" s="9"/>
      <c r="AT454" s="9"/>
      <c r="AU454" s="9"/>
      <c r="AX454" s="9"/>
      <c r="AY454" s="9"/>
    </row>
    <row r="455" spans="17:51" ht="12.75">
      <c r="Q455" s="28"/>
      <c r="Y455" s="28"/>
      <c r="AE455" s="59"/>
      <c r="AH455" s="9"/>
      <c r="AI455" s="9"/>
      <c r="AL455" s="9"/>
      <c r="AM455" s="9"/>
      <c r="AP455" s="9"/>
      <c r="AQ455" s="9"/>
      <c r="AT455" s="9"/>
      <c r="AU455" s="9"/>
      <c r="AX455" s="9"/>
      <c r="AY455" s="9"/>
    </row>
    <row r="456" spans="17:51" ht="12.75">
      <c r="Q456" s="28"/>
      <c r="Y456" s="28"/>
      <c r="AE456" s="59"/>
      <c r="AH456" s="9"/>
      <c r="AI456" s="9"/>
      <c r="AL456" s="9"/>
      <c r="AM456" s="9"/>
      <c r="AP456" s="9"/>
      <c r="AQ456" s="9"/>
      <c r="AT456" s="9"/>
      <c r="AU456" s="9"/>
      <c r="AX456" s="9"/>
      <c r="AY456" s="9"/>
    </row>
    <row r="457" spans="17:51" ht="12.75">
      <c r="Q457" s="28"/>
      <c r="Y457" s="28"/>
      <c r="AE457" s="59"/>
      <c r="AH457" s="9"/>
      <c r="AI457" s="9"/>
      <c r="AL457" s="9"/>
      <c r="AM457" s="9"/>
      <c r="AP457" s="9"/>
      <c r="AQ457" s="9"/>
      <c r="AT457" s="9"/>
      <c r="AU457" s="9"/>
      <c r="AX457" s="9"/>
      <c r="AY457" s="9"/>
    </row>
    <row r="458" spans="17:51" ht="12.75">
      <c r="Q458" s="28"/>
      <c r="Y458" s="28"/>
      <c r="AE458" s="59"/>
      <c r="AH458" s="9"/>
      <c r="AI458" s="9"/>
      <c r="AL458" s="9"/>
      <c r="AM458" s="9"/>
      <c r="AP458" s="9"/>
      <c r="AQ458" s="9"/>
      <c r="AT458" s="9"/>
      <c r="AU458" s="9"/>
      <c r="AX458" s="9"/>
      <c r="AY458" s="9"/>
    </row>
    <row r="459" spans="17:51" ht="12.75">
      <c r="Q459" s="28"/>
      <c r="Y459" s="28"/>
      <c r="AE459" s="59"/>
      <c r="AH459" s="9"/>
      <c r="AI459" s="9"/>
      <c r="AL459" s="9"/>
      <c r="AM459" s="9"/>
      <c r="AP459" s="9"/>
      <c r="AQ459" s="9"/>
      <c r="AT459" s="9"/>
      <c r="AU459" s="9"/>
      <c r="AX459" s="9"/>
      <c r="AY459" s="9"/>
    </row>
    <row r="460" spans="17:51" ht="12.75">
      <c r="Q460" s="28"/>
      <c r="Y460" s="28"/>
      <c r="AE460" s="59"/>
      <c r="AH460" s="9"/>
      <c r="AI460" s="9"/>
      <c r="AL460" s="9"/>
      <c r="AM460" s="9"/>
      <c r="AP460" s="9"/>
      <c r="AQ460" s="9"/>
      <c r="AT460" s="9"/>
      <c r="AU460" s="9"/>
      <c r="AX460" s="9"/>
      <c r="AY460" s="9"/>
    </row>
    <row r="461" spans="17:51" ht="12.75">
      <c r="Q461" s="28"/>
      <c r="Y461" s="28"/>
      <c r="AE461" s="59"/>
      <c r="AH461" s="9"/>
      <c r="AI461" s="9"/>
      <c r="AL461" s="9"/>
      <c r="AM461" s="9"/>
      <c r="AP461" s="9"/>
      <c r="AQ461" s="9"/>
      <c r="AT461" s="9"/>
      <c r="AU461" s="9"/>
      <c r="AX461" s="9"/>
      <c r="AY461" s="9"/>
    </row>
    <row r="462" spans="17:51" ht="12.75">
      <c r="Q462" s="28"/>
      <c r="Y462" s="28"/>
      <c r="AE462" s="59"/>
      <c r="AH462" s="9"/>
      <c r="AI462" s="9"/>
      <c r="AL462" s="9"/>
      <c r="AM462" s="9"/>
      <c r="AP462" s="9"/>
      <c r="AQ462" s="9"/>
      <c r="AT462" s="9"/>
      <c r="AU462" s="9"/>
      <c r="AX462" s="9"/>
      <c r="AY462" s="9"/>
    </row>
    <row r="463" spans="17:51" ht="12.75">
      <c r="Q463" s="28"/>
      <c r="Y463" s="28"/>
      <c r="AE463" s="59"/>
      <c r="AH463" s="9"/>
      <c r="AI463" s="9"/>
      <c r="AL463" s="9"/>
      <c r="AM463" s="9"/>
      <c r="AP463" s="9"/>
      <c r="AQ463" s="9"/>
      <c r="AT463" s="9"/>
      <c r="AU463" s="9"/>
      <c r="AX463" s="9"/>
      <c r="AY463" s="9"/>
    </row>
    <row r="464" spans="17:51" ht="12.75">
      <c r="Q464" s="28"/>
      <c r="Y464" s="28"/>
      <c r="AE464" s="59"/>
      <c r="AH464" s="9"/>
      <c r="AI464" s="9"/>
      <c r="AL464" s="9"/>
      <c r="AM464" s="9"/>
      <c r="AP464" s="9"/>
      <c r="AQ464" s="9"/>
      <c r="AT464" s="9"/>
      <c r="AU464" s="9"/>
      <c r="AX464" s="9"/>
      <c r="AY464" s="9"/>
    </row>
    <row r="465" spans="17:51" ht="12.75">
      <c r="Q465" s="28"/>
      <c r="Y465" s="28"/>
      <c r="AE465" s="59"/>
      <c r="AH465" s="9"/>
      <c r="AI465" s="9"/>
      <c r="AL465" s="9"/>
      <c r="AM465" s="9"/>
      <c r="AP465" s="9"/>
      <c r="AQ465" s="9"/>
      <c r="AT465" s="9"/>
      <c r="AU465" s="9"/>
      <c r="AX465" s="9"/>
      <c r="AY465" s="9"/>
    </row>
    <row r="466" spans="17:51" ht="12.75">
      <c r="Q466" s="28"/>
      <c r="Y466" s="28"/>
      <c r="AE466" s="59"/>
      <c r="AH466" s="9"/>
      <c r="AI466" s="9"/>
      <c r="AL466" s="9"/>
      <c r="AM466" s="9"/>
      <c r="AP466" s="9"/>
      <c r="AQ466" s="9"/>
      <c r="AT466" s="9"/>
      <c r="AU466" s="9"/>
      <c r="AX466" s="9"/>
      <c r="AY466" s="9"/>
    </row>
    <row r="467" spans="17:51" ht="12.75">
      <c r="Q467" s="28"/>
      <c r="Y467" s="28"/>
      <c r="AE467" s="59"/>
      <c r="AH467" s="9"/>
      <c r="AI467" s="9"/>
      <c r="AL467" s="9"/>
      <c r="AM467" s="9"/>
      <c r="AP467" s="9"/>
      <c r="AQ467" s="9"/>
      <c r="AT467" s="9"/>
      <c r="AU467" s="9"/>
      <c r="AX467" s="9"/>
      <c r="AY467" s="9"/>
    </row>
    <row r="468" spans="17:51" ht="12.75">
      <c r="Q468" s="28"/>
      <c r="Y468" s="28"/>
      <c r="AE468" s="59"/>
      <c r="AH468" s="9"/>
      <c r="AI468" s="9"/>
      <c r="AL468" s="9"/>
      <c r="AM468" s="9"/>
      <c r="AP468" s="9"/>
      <c r="AQ468" s="9"/>
      <c r="AT468" s="9"/>
      <c r="AU468" s="9"/>
      <c r="AX468" s="9"/>
      <c r="AY468" s="9"/>
    </row>
    <row r="469" spans="17:51" ht="12.75">
      <c r="Q469" s="28"/>
      <c r="Y469" s="28"/>
      <c r="AE469" s="59"/>
      <c r="AH469" s="9"/>
      <c r="AI469" s="9"/>
      <c r="AL469" s="9"/>
      <c r="AM469" s="9"/>
      <c r="AP469" s="9"/>
      <c r="AQ469" s="9"/>
      <c r="AT469" s="9"/>
      <c r="AU469" s="9"/>
      <c r="AX469" s="9"/>
      <c r="AY469" s="9"/>
    </row>
    <row r="470" spans="17:51" ht="12.75">
      <c r="Q470" s="28"/>
      <c r="Y470" s="28"/>
      <c r="AE470" s="59"/>
      <c r="AH470" s="9"/>
      <c r="AI470" s="9"/>
      <c r="AL470" s="9"/>
      <c r="AM470" s="9"/>
      <c r="AP470" s="9"/>
      <c r="AQ470" s="9"/>
      <c r="AT470" s="9"/>
      <c r="AU470" s="9"/>
      <c r="AX470" s="9"/>
      <c r="AY470" s="9"/>
    </row>
    <row r="471" spans="17:51" ht="12.75">
      <c r="Q471" s="28"/>
      <c r="Y471" s="28"/>
      <c r="AE471" s="59"/>
      <c r="AH471" s="9"/>
      <c r="AI471" s="9"/>
      <c r="AL471" s="9"/>
      <c r="AM471" s="9"/>
      <c r="AP471" s="9"/>
      <c r="AQ471" s="9"/>
      <c r="AT471" s="9"/>
      <c r="AU471" s="9"/>
      <c r="AX471" s="9"/>
      <c r="AY471" s="9"/>
    </row>
    <row r="472" spans="17:51" ht="12.75">
      <c r="Q472" s="28"/>
      <c r="Y472" s="28"/>
      <c r="AE472" s="59"/>
      <c r="AH472" s="9"/>
      <c r="AI472" s="9"/>
      <c r="AL472" s="9"/>
      <c r="AM472" s="9"/>
      <c r="AP472" s="9"/>
      <c r="AQ472" s="9"/>
      <c r="AT472" s="9"/>
      <c r="AU472" s="9"/>
      <c r="AX472" s="9"/>
      <c r="AY472" s="9"/>
    </row>
    <row r="473" spans="17:51" ht="12.75">
      <c r="Q473" s="28"/>
      <c r="Y473" s="28"/>
      <c r="AE473" s="59"/>
      <c r="AH473" s="9"/>
      <c r="AI473" s="9"/>
      <c r="AL473" s="9"/>
      <c r="AM473" s="9"/>
      <c r="AP473" s="9"/>
      <c r="AQ473" s="9"/>
      <c r="AT473" s="9"/>
      <c r="AU473" s="9"/>
      <c r="AX473" s="9"/>
      <c r="AY473" s="9"/>
    </row>
    <row r="474" spans="17:51" ht="12.75">
      <c r="Q474" s="28"/>
      <c r="Y474" s="28"/>
      <c r="AE474" s="59"/>
      <c r="AH474" s="9"/>
      <c r="AI474" s="9"/>
      <c r="AL474" s="9"/>
      <c r="AM474" s="9"/>
      <c r="AP474" s="9"/>
      <c r="AQ474" s="9"/>
      <c r="AT474" s="9"/>
      <c r="AU474" s="9"/>
      <c r="AX474" s="9"/>
      <c r="AY474" s="9"/>
    </row>
    <row r="475" spans="17:51" ht="12.75">
      <c r="Q475" s="28"/>
      <c r="Y475" s="28"/>
      <c r="AE475" s="59"/>
      <c r="AH475" s="9"/>
      <c r="AI475" s="9"/>
      <c r="AL475" s="9"/>
      <c r="AM475" s="9"/>
      <c r="AP475" s="9"/>
      <c r="AQ475" s="9"/>
      <c r="AT475" s="9"/>
      <c r="AU475" s="9"/>
      <c r="AX475" s="9"/>
      <c r="AY475" s="9"/>
    </row>
    <row r="476" spans="17:51" ht="12.75">
      <c r="Q476" s="28"/>
      <c r="Y476" s="28"/>
      <c r="AE476" s="59"/>
      <c r="AH476" s="9"/>
      <c r="AI476" s="9"/>
      <c r="AL476" s="9"/>
      <c r="AM476" s="9"/>
      <c r="AP476" s="9"/>
      <c r="AQ476" s="9"/>
      <c r="AT476" s="9"/>
      <c r="AU476" s="9"/>
      <c r="AX476" s="9"/>
      <c r="AY476" s="9"/>
    </row>
    <row r="477" spans="17:51" ht="12.75">
      <c r="Q477" s="28"/>
      <c r="Y477" s="28"/>
      <c r="AE477" s="59"/>
      <c r="AH477" s="9"/>
      <c r="AI477" s="9"/>
      <c r="AL477" s="9"/>
      <c r="AM477" s="9"/>
      <c r="AP477" s="9"/>
      <c r="AQ477" s="9"/>
      <c r="AT477" s="9"/>
      <c r="AU477" s="9"/>
      <c r="AX477" s="9"/>
      <c r="AY477" s="9"/>
    </row>
    <row r="478" spans="17:51" ht="12.75">
      <c r="Q478" s="28"/>
      <c r="Y478" s="28"/>
      <c r="AE478" s="59"/>
      <c r="AH478" s="9"/>
      <c r="AI478" s="9"/>
      <c r="AL478" s="9"/>
      <c r="AM478" s="9"/>
      <c r="AP478" s="9"/>
      <c r="AQ478" s="9"/>
      <c r="AT478" s="9"/>
      <c r="AU478" s="9"/>
      <c r="AX478" s="9"/>
      <c r="AY478" s="9"/>
    </row>
    <row r="479" spans="17:51" ht="12.75">
      <c r="Q479" s="28"/>
      <c r="Y479" s="28"/>
      <c r="AE479" s="59"/>
      <c r="AH479" s="9"/>
      <c r="AI479" s="9"/>
      <c r="AL479" s="9"/>
      <c r="AM479" s="9"/>
      <c r="AP479" s="9"/>
      <c r="AQ479" s="9"/>
      <c r="AT479" s="9"/>
      <c r="AU479" s="9"/>
      <c r="AX479" s="9"/>
      <c r="AY479" s="9"/>
    </row>
    <row r="480" spans="17:51" ht="12.75">
      <c r="Q480" s="28"/>
      <c r="Y480" s="28"/>
      <c r="AE480" s="59"/>
      <c r="AH480" s="9"/>
      <c r="AI480" s="9"/>
      <c r="AL480" s="9"/>
      <c r="AM480" s="9"/>
      <c r="AP480" s="9"/>
      <c r="AQ480" s="9"/>
      <c r="AT480" s="9"/>
      <c r="AU480" s="9"/>
      <c r="AX480" s="9"/>
      <c r="AY480" s="9"/>
    </row>
    <row r="481" spans="17:51" ht="12.75">
      <c r="Q481" s="28"/>
      <c r="Y481" s="28"/>
      <c r="AE481" s="59"/>
      <c r="AH481" s="9"/>
      <c r="AI481" s="9"/>
      <c r="AL481" s="9"/>
      <c r="AM481" s="9"/>
      <c r="AP481" s="9"/>
      <c r="AQ481" s="9"/>
      <c r="AT481" s="9"/>
      <c r="AU481" s="9"/>
      <c r="AX481" s="9"/>
      <c r="AY481" s="9"/>
    </row>
    <row r="482" spans="17:51" ht="12.75">
      <c r="Q482" s="28"/>
      <c r="Y482" s="28"/>
      <c r="AE482" s="59"/>
      <c r="AH482" s="9"/>
      <c r="AI482" s="9"/>
      <c r="AL482" s="9"/>
      <c r="AM482" s="9"/>
      <c r="AP482" s="9"/>
      <c r="AQ482" s="9"/>
      <c r="AT482" s="9"/>
      <c r="AU482" s="9"/>
      <c r="AX482" s="9"/>
      <c r="AY482" s="9"/>
    </row>
    <row r="483" spans="17:51" ht="12.75">
      <c r="Q483" s="28"/>
      <c r="Y483" s="28"/>
      <c r="AE483" s="59"/>
      <c r="AH483" s="9"/>
      <c r="AI483" s="9"/>
      <c r="AL483" s="9"/>
      <c r="AM483" s="9"/>
      <c r="AP483" s="9"/>
      <c r="AQ483" s="9"/>
      <c r="AT483" s="9"/>
      <c r="AU483" s="9"/>
      <c r="AX483" s="9"/>
      <c r="AY483" s="9"/>
    </row>
    <row r="484" spans="17:51" ht="12.75">
      <c r="Q484" s="28"/>
      <c r="Y484" s="28"/>
      <c r="AE484" s="59"/>
      <c r="AH484" s="9"/>
      <c r="AI484" s="9"/>
      <c r="AL484" s="9"/>
      <c r="AM484" s="9"/>
      <c r="AP484" s="9"/>
      <c r="AQ484" s="9"/>
      <c r="AT484" s="9"/>
      <c r="AU484" s="9"/>
      <c r="AX484" s="9"/>
      <c r="AY484" s="9"/>
    </row>
    <row r="485" spans="17:51" ht="12.75">
      <c r="Q485" s="28"/>
      <c r="Y485" s="28"/>
      <c r="AE485" s="59"/>
      <c r="AH485" s="9"/>
      <c r="AI485" s="9"/>
      <c r="AL485" s="9"/>
      <c r="AM485" s="9"/>
      <c r="AP485" s="9"/>
      <c r="AQ485" s="9"/>
      <c r="AT485" s="9"/>
      <c r="AU485" s="9"/>
      <c r="AX485" s="9"/>
      <c r="AY485" s="9"/>
    </row>
    <row r="486" spans="17:51" ht="12.75">
      <c r="Q486" s="28"/>
      <c r="Y486" s="28"/>
      <c r="AE486" s="59"/>
      <c r="AH486" s="9"/>
      <c r="AI486" s="9"/>
      <c r="AL486" s="9"/>
      <c r="AM486" s="9"/>
      <c r="AP486" s="9"/>
      <c r="AQ486" s="9"/>
      <c r="AT486" s="9"/>
      <c r="AU486" s="9"/>
      <c r="AX486" s="9"/>
      <c r="AY486" s="9"/>
    </row>
    <row r="487" spans="17:51" ht="12.75">
      <c r="Q487" s="28"/>
      <c r="Y487" s="28"/>
      <c r="AE487" s="59"/>
      <c r="AH487" s="9"/>
      <c r="AI487" s="9"/>
      <c r="AL487" s="9"/>
      <c r="AM487" s="9"/>
      <c r="AP487" s="9"/>
      <c r="AQ487" s="9"/>
      <c r="AT487" s="9"/>
      <c r="AU487" s="9"/>
      <c r="AX487" s="9"/>
      <c r="AY487" s="9"/>
    </row>
    <row r="488" spans="17:51" ht="12.75">
      <c r="Q488" s="28"/>
      <c r="Y488" s="28"/>
      <c r="AE488" s="59"/>
      <c r="AH488" s="9"/>
      <c r="AI488" s="9"/>
      <c r="AL488" s="9"/>
      <c r="AM488" s="9"/>
      <c r="AP488" s="9"/>
      <c r="AQ488" s="9"/>
      <c r="AT488" s="9"/>
      <c r="AU488" s="9"/>
      <c r="AX488" s="9"/>
      <c r="AY488" s="9"/>
    </row>
    <row r="489" spans="17:51" ht="12.75">
      <c r="Q489" s="28"/>
      <c r="Y489" s="28"/>
      <c r="AE489" s="59"/>
      <c r="AH489" s="9"/>
      <c r="AI489" s="9"/>
      <c r="AL489" s="9"/>
      <c r="AM489" s="9"/>
      <c r="AP489" s="9"/>
      <c r="AQ489" s="9"/>
      <c r="AT489" s="9"/>
      <c r="AU489" s="9"/>
      <c r="AX489" s="9"/>
      <c r="AY489" s="9"/>
    </row>
    <row r="490" spans="17:51" ht="12.75">
      <c r="Q490" s="28"/>
      <c r="Y490" s="28"/>
      <c r="AE490" s="59"/>
      <c r="AH490" s="9"/>
      <c r="AI490" s="9"/>
      <c r="AL490" s="9"/>
      <c r="AM490" s="9"/>
      <c r="AP490" s="9"/>
      <c r="AQ490" s="9"/>
      <c r="AT490" s="9"/>
      <c r="AU490" s="9"/>
      <c r="AX490" s="9"/>
      <c r="AY490" s="9"/>
    </row>
    <row r="491" spans="17:51" ht="12.75">
      <c r="Q491" s="28"/>
      <c r="Y491" s="28"/>
      <c r="AE491" s="59"/>
      <c r="AH491" s="9"/>
      <c r="AI491" s="9"/>
      <c r="AL491" s="9"/>
      <c r="AM491" s="9"/>
      <c r="AP491" s="9"/>
      <c r="AQ491" s="9"/>
      <c r="AT491" s="9"/>
      <c r="AU491" s="9"/>
      <c r="AX491" s="9"/>
      <c r="AY491" s="9"/>
    </row>
    <row r="492" spans="17:51" ht="12.75">
      <c r="Q492" s="28"/>
      <c r="Y492" s="28"/>
      <c r="AE492" s="59"/>
      <c r="AH492" s="9"/>
      <c r="AI492" s="9"/>
      <c r="AL492" s="9"/>
      <c r="AM492" s="9"/>
      <c r="AP492" s="9"/>
      <c r="AQ492" s="9"/>
      <c r="AT492" s="9"/>
      <c r="AU492" s="9"/>
      <c r="AX492" s="9"/>
      <c r="AY492" s="9"/>
    </row>
    <row r="493" spans="17:51" ht="12.75">
      <c r="Q493" s="28"/>
      <c r="Y493" s="28"/>
      <c r="AE493" s="59"/>
      <c r="AH493" s="9"/>
      <c r="AI493" s="9"/>
      <c r="AL493" s="9"/>
      <c r="AM493" s="9"/>
      <c r="AP493" s="9"/>
      <c r="AQ493" s="9"/>
      <c r="AT493" s="9"/>
      <c r="AU493" s="9"/>
      <c r="AX493" s="9"/>
      <c r="AY493" s="9"/>
    </row>
    <row r="494" spans="17:51" ht="12.75">
      <c r="Q494" s="28"/>
      <c r="Y494" s="28"/>
      <c r="AE494" s="59"/>
      <c r="AH494" s="9"/>
      <c r="AI494" s="9"/>
      <c r="AL494" s="9"/>
      <c r="AM494" s="9"/>
      <c r="AP494" s="9"/>
      <c r="AQ494" s="9"/>
      <c r="AT494" s="9"/>
      <c r="AU494" s="9"/>
      <c r="AX494" s="9"/>
      <c r="AY494" s="9"/>
    </row>
    <row r="495" spans="17:51" ht="12.75">
      <c r="Q495" s="28"/>
      <c r="Y495" s="28"/>
      <c r="AE495" s="59"/>
      <c r="AH495" s="9"/>
      <c r="AI495" s="9"/>
      <c r="AL495" s="9"/>
      <c r="AM495" s="9"/>
      <c r="AP495" s="9"/>
      <c r="AQ495" s="9"/>
      <c r="AT495" s="9"/>
      <c r="AU495" s="9"/>
      <c r="AX495" s="9"/>
      <c r="AY495" s="9"/>
    </row>
    <row r="496" spans="17:51" ht="12.75">
      <c r="Q496" s="28"/>
      <c r="Y496" s="28"/>
      <c r="AE496" s="59"/>
      <c r="AH496" s="9"/>
      <c r="AI496" s="9"/>
      <c r="AL496" s="9"/>
      <c r="AM496" s="9"/>
      <c r="AP496" s="9"/>
      <c r="AQ496" s="9"/>
      <c r="AT496" s="9"/>
      <c r="AU496" s="9"/>
      <c r="AX496" s="9"/>
      <c r="AY496" s="9"/>
    </row>
    <row r="497" spans="17:51" ht="12.75">
      <c r="Q497" s="28"/>
      <c r="Y497" s="28"/>
      <c r="AE497" s="59"/>
      <c r="AH497" s="9"/>
      <c r="AI497" s="9"/>
      <c r="AL497" s="9"/>
      <c r="AM497" s="9"/>
      <c r="AP497" s="9"/>
      <c r="AQ497" s="9"/>
      <c r="AT497" s="9"/>
      <c r="AU497" s="9"/>
      <c r="AX497" s="9"/>
      <c r="AY497" s="9"/>
    </row>
    <row r="498" spans="17:51" ht="12.75">
      <c r="Q498" s="28"/>
      <c r="Y498" s="28"/>
      <c r="AE498" s="59"/>
      <c r="AH498" s="9"/>
      <c r="AI498" s="9"/>
      <c r="AL498" s="9"/>
      <c r="AM498" s="9"/>
      <c r="AP498" s="9"/>
      <c r="AQ498" s="9"/>
      <c r="AT498" s="9"/>
      <c r="AU498" s="9"/>
      <c r="AX498" s="9"/>
      <c r="AY498" s="9"/>
    </row>
    <row r="499" spans="17:51" ht="12.75">
      <c r="Q499" s="28"/>
      <c r="Y499" s="28"/>
      <c r="AE499" s="59"/>
      <c r="AH499" s="9"/>
      <c r="AI499" s="9"/>
      <c r="AL499" s="9"/>
      <c r="AM499" s="9"/>
      <c r="AP499" s="9"/>
      <c r="AQ499" s="9"/>
      <c r="AT499" s="9"/>
      <c r="AU499" s="9"/>
      <c r="AX499" s="9"/>
      <c r="AY499" s="9"/>
    </row>
    <row r="500" spans="17:51" ht="12.75">
      <c r="Q500" s="28"/>
      <c r="Y500" s="28"/>
      <c r="AE500" s="59"/>
      <c r="AH500" s="9"/>
      <c r="AI500" s="9"/>
      <c r="AL500" s="9"/>
      <c r="AM500" s="9"/>
      <c r="AP500" s="9"/>
      <c r="AQ500" s="9"/>
      <c r="AT500" s="9"/>
      <c r="AU500" s="9"/>
      <c r="AX500" s="9"/>
      <c r="AY500" s="9"/>
    </row>
    <row r="501" spans="17:51" ht="12.75">
      <c r="Q501" s="28"/>
      <c r="Y501" s="28"/>
      <c r="AE501" s="59"/>
      <c r="AH501" s="9"/>
      <c r="AI501" s="9"/>
      <c r="AL501" s="9"/>
      <c r="AM501" s="9"/>
      <c r="AP501" s="9"/>
      <c r="AQ501" s="9"/>
      <c r="AT501" s="9"/>
      <c r="AU501" s="9"/>
      <c r="AX501" s="9"/>
      <c r="AY501" s="9"/>
    </row>
    <row r="502" spans="17:51" ht="12.75">
      <c r="Q502" s="28"/>
      <c r="Y502" s="28"/>
      <c r="AE502" s="59"/>
      <c r="AH502" s="9"/>
      <c r="AI502" s="9"/>
      <c r="AL502" s="9"/>
      <c r="AM502" s="9"/>
      <c r="AP502" s="9"/>
      <c r="AQ502" s="9"/>
      <c r="AT502" s="9"/>
      <c r="AU502" s="9"/>
      <c r="AX502" s="9"/>
      <c r="AY502" s="9"/>
    </row>
    <row r="503" spans="17:51" ht="12.75">
      <c r="Q503" s="28"/>
      <c r="Y503" s="28"/>
      <c r="AE503" s="59"/>
      <c r="AH503" s="9"/>
      <c r="AI503" s="9"/>
      <c r="AL503" s="9"/>
      <c r="AM503" s="9"/>
      <c r="AP503" s="9"/>
      <c r="AQ503" s="9"/>
      <c r="AT503" s="9"/>
      <c r="AU503" s="9"/>
      <c r="AX503" s="9"/>
      <c r="AY503" s="9"/>
    </row>
    <row r="504" spans="17:51" ht="12.75">
      <c r="Q504" s="28"/>
      <c r="Y504" s="28"/>
      <c r="AE504" s="59"/>
      <c r="AH504" s="9"/>
      <c r="AI504" s="9"/>
      <c r="AL504" s="9"/>
      <c r="AM504" s="9"/>
      <c r="AP504" s="9"/>
      <c r="AQ504" s="9"/>
      <c r="AT504" s="9"/>
      <c r="AU504" s="9"/>
      <c r="AX504" s="9"/>
      <c r="AY504" s="9"/>
    </row>
    <row r="505" spans="17:51" ht="12.75">
      <c r="Q505" s="28"/>
      <c r="Y505" s="28"/>
      <c r="AE505" s="59"/>
      <c r="AH505" s="9"/>
      <c r="AI505" s="9"/>
      <c r="AL505" s="9"/>
      <c r="AM505" s="9"/>
      <c r="AP505" s="9"/>
      <c r="AQ505" s="9"/>
      <c r="AT505" s="9"/>
      <c r="AU505" s="9"/>
      <c r="AX505" s="9"/>
      <c r="AY505" s="9"/>
    </row>
    <row r="506" spans="17:51" ht="12.75">
      <c r="Q506" s="28"/>
      <c r="Y506" s="28"/>
      <c r="AE506" s="59"/>
      <c r="AH506" s="9"/>
      <c r="AI506" s="9"/>
      <c r="AL506" s="9"/>
      <c r="AM506" s="9"/>
      <c r="AP506" s="9"/>
      <c r="AQ506" s="9"/>
      <c r="AT506" s="9"/>
      <c r="AU506" s="9"/>
      <c r="AX506" s="9"/>
      <c r="AY506" s="9"/>
    </row>
    <row r="507" spans="17:51" ht="12.75">
      <c r="Q507" s="28"/>
      <c r="Y507" s="28"/>
      <c r="AE507" s="59"/>
      <c r="AH507" s="9"/>
      <c r="AI507" s="9"/>
      <c r="AL507" s="9"/>
      <c r="AM507" s="9"/>
      <c r="AP507" s="9"/>
      <c r="AQ507" s="9"/>
      <c r="AT507" s="9"/>
      <c r="AU507" s="9"/>
      <c r="AX507" s="9"/>
      <c r="AY507" s="9"/>
    </row>
    <row r="508" spans="17:51" ht="12.75">
      <c r="Q508" s="28"/>
      <c r="Y508" s="28"/>
      <c r="AE508" s="59"/>
      <c r="AH508" s="9"/>
      <c r="AI508" s="9"/>
      <c r="AL508" s="9"/>
      <c r="AM508" s="9"/>
      <c r="AP508" s="9"/>
      <c r="AQ508" s="9"/>
      <c r="AT508" s="9"/>
      <c r="AU508" s="9"/>
      <c r="AX508" s="9"/>
      <c r="AY508" s="9"/>
    </row>
    <row r="509" spans="17:51" ht="12.75">
      <c r="Q509" s="28"/>
      <c r="Y509" s="28"/>
      <c r="AE509" s="59"/>
      <c r="AH509" s="9"/>
      <c r="AI509" s="9"/>
      <c r="AL509" s="9"/>
      <c r="AM509" s="9"/>
      <c r="AP509" s="9"/>
      <c r="AQ509" s="9"/>
      <c r="AT509" s="9"/>
      <c r="AU509" s="9"/>
      <c r="AX509" s="9"/>
      <c r="AY509" s="9"/>
    </row>
    <row r="510" spans="17:51" ht="12.75">
      <c r="Q510" s="28"/>
      <c r="Y510" s="28"/>
      <c r="AE510" s="59"/>
      <c r="AH510" s="9"/>
      <c r="AI510" s="9"/>
      <c r="AL510" s="9"/>
      <c r="AM510" s="9"/>
      <c r="AP510" s="9"/>
      <c r="AQ510" s="9"/>
      <c r="AT510" s="9"/>
      <c r="AU510" s="9"/>
      <c r="AX510" s="9"/>
      <c r="AY510" s="9"/>
    </row>
    <row r="511" spans="17:51" ht="12.75">
      <c r="Q511" s="28"/>
      <c r="Y511" s="28"/>
      <c r="AE511" s="59"/>
      <c r="AH511" s="9"/>
      <c r="AI511" s="9"/>
      <c r="AL511" s="9"/>
      <c r="AM511" s="9"/>
      <c r="AP511" s="9"/>
      <c r="AQ511" s="9"/>
      <c r="AT511" s="9"/>
      <c r="AU511" s="9"/>
      <c r="AX511" s="9"/>
      <c r="AY511" s="9"/>
    </row>
    <row r="512" spans="17:51" ht="12.75">
      <c r="Q512" s="28"/>
      <c r="Y512" s="28"/>
      <c r="AE512" s="59"/>
      <c r="AH512" s="9"/>
      <c r="AI512" s="9"/>
      <c r="AL512" s="9"/>
      <c r="AM512" s="9"/>
      <c r="AP512" s="9"/>
      <c r="AQ512" s="9"/>
      <c r="AT512" s="9"/>
      <c r="AU512" s="9"/>
      <c r="AX512" s="9"/>
      <c r="AY512" s="9"/>
    </row>
    <row r="513" spans="17:51" ht="12.75">
      <c r="Q513" s="28"/>
      <c r="Y513" s="28"/>
      <c r="AE513" s="59"/>
      <c r="AH513" s="9"/>
      <c r="AI513" s="9"/>
      <c r="AL513" s="9"/>
      <c r="AM513" s="9"/>
      <c r="AP513" s="9"/>
      <c r="AQ513" s="9"/>
      <c r="AT513" s="9"/>
      <c r="AU513" s="9"/>
      <c r="AX513" s="9"/>
      <c r="AY513" s="9"/>
    </row>
    <row r="514" spans="17:51" ht="12.75">
      <c r="Q514" s="28"/>
      <c r="Y514" s="28"/>
      <c r="AE514" s="59"/>
      <c r="AH514" s="9"/>
      <c r="AI514" s="9"/>
      <c r="AL514" s="9"/>
      <c r="AM514" s="9"/>
      <c r="AP514" s="9"/>
      <c r="AQ514" s="9"/>
      <c r="AT514" s="9"/>
      <c r="AU514" s="9"/>
      <c r="AX514" s="9"/>
      <c r="AY514" s="9"/>
    </row>
    <row r="515" spans="17:51" ht="12.75">
      <c r="Q515" s="28"/>
      <c r="Y515" s="28"/>
      <c r="AE515" s="59"/>
      <c r="AH515" s="9"/>
      <c r="AI515" s="9"/>
      <c r="AL515" s="9"/>
      <c r="AM515" s="9"/>
      <c r="AP515" s="9"/>
      <c r="AQ515" s="9"/>
      <c r="AT515" s="9"/>
      <c r="AU515" s="9"/>
      <c r="AX515" s="9"/>
      <c r="AY515" s="9"/>
    </row>
    <row r="516" spans="17:51" ht="12.75">
      <c r="Q516" s="28"/>
      <c r="Y516" s="28"/>
      <c r="AE516" s="59"/>
      <c r="AH516" s="9"/>
      <c r="AI516" s="9"/>
      <c r="AL516" s="9"/>
      <c r="AM516" s="9"/>
      <c r="AP516" s="9"/>
      <c r="AQ516" s="9"/>
      <c r="AT516" s="9"/>
      <c r="AU516" s="9"/>
      <c r="AX516" s="9"/>
      <c r="AY516" s="9"/>
    </row>
    <row r="517" spans="17:51" ht="12.75">
      <c r="Q517" s="28"/>
      <c r="Y517" s="28"/>
      <c r="AE517" s="59"/>
      <c r="AH517" s="9"/>
      <c r="AI517" s="9"/>
      <c r="AL517" s="9"/>
      <c r="AM517" s="9"/>
      <c r="AP517" s="9"/>
      <c r="AQ517" s="9"/>
      <c r="AT517" s="9"/>
      <c r="AU517" s="9"/>
      <c r="AX517" s="9"/>
      <c r="AY517" s="9"/>
    </row>
    <row r="518" spans="17:51" ht="12.75">
      <c r="Q518" s="28"/>
      <c r="Y518" s="28"/>
      <c r="AE518" s="59"/>
      <c r="AH518" s="9"/>
      <c r="AI518" s="9"/>
      <c r="AL518" s="9"/>
      <c r="AM518" s="9"/>
      <c r="AP518" s="9"/>
      <c r="AQ518" s="9"/>
      <c r="AT518" s="9"/>
      <c r="AU518" s="9"/>
      <c r="AX518" s="9"/>
      <c r="AY518" s="9"/>
    </row>
    <row r="519" spans="17:51" ht="12.75">
      <c r="Q519" s="28"/>
      <c r="Y519" s="28"/>
      <c r="AE519" s="59"/>
      <c r="AH519" s="9"/>
      <c r="AI519" s="9"/>
      <c r="AL519" s="9"/>
      <c r="AM519" s="9"/>
      <c r="AP519" s="9"/>
      <c r="AQ519" s="9"/>
      <c r="AT519" s="9"/>
      <c r="AU519" s="9"/>
      <c r="AX519" s="9"/>
      <c r="AY519" s="9"/>
    </row>
    <row r="520" spans="17:51" ht="12.75">
      <c r="Q520" s="28"/>
      <c r="Y520" s="28"/>
      <c r="AE520" s="59"/>
      <c r="AH520" s="9"/>
      <c r="AI520" s="9"/>
      <c r="AL520" s="9"/>
      <c r="AM520" s="9"/>
      <c r="AP520" s="9"/>
      <c r="AQ520" s="9"/>
      <c r="AT520" s="9"/>
      <c r="AU520" s="9"/>
      <c r="AX520" s="9"/>
      <c r="AY520" s="9"/>
    </row>
    <row r="521" spans="17:51" ht="12.75">
      <c r="Q521" s="28"/>
      <c r="Y521" s="28"/>
      <c r="AE521" s="59"/>
      <c r="AH521" s="9"/>
      <c r="AI521" s="9"/>
      <c r="AL521" s="9"/>
      <c r="AM521" s="9"/>
      <c r="AP521" s="9"/>
      <c r="AQ521" s="9"/>
      <c r="AT521" s="9"/>
      <c r="AU521" s="9"/>
      <c r="AX521" s="9"/>
      <c r="AY521" s="9"/>
    </row>
    <row r="522" spans="17:51" ht="12.75">
      <c r="Q522" s="28"/>
      <c r="Y522" s="28"/>
      <c r="AE522" s="59"/>
      <c r="AH522" s="9"/>
      <c r="AI522" s="9"/>
      <c r="AL522" s="9"/>
      <c r="AM522" s="9"/>
      <c r="AP522" s="9"/>
      <c r="AQ522" s="9"/>
      <c r="AT522" s="9"/>
      <c r="AU522" s="9"/>
      <c r="AX522" s="9"/>
      <c r="AY522" s="9"/>
    </row>
    <row r="523" spans="17:51" ht="12.75">
      <c r="Q523" s="28"/>
      <c r="Y523" s="28"/>
      <c r="AE523" s="59"/>
      <c r="AH523" s="9"/>
      <c r="AI523" s="9"/>
      <c r="AL523" s="9"/>
      <c r="AM523" s="9"/>
      <c r="AP523" s="9"/>
      <c r="AQ523" s="9"/>
      <c r="AT523" s="9"/>
      <c r="AU523" s="9"/>
      <c r="AX523" s="9"/>
      <c r="AY523" s="9"/>
    </row>
    <row r="524" spans="17:51" ht="12.75">
      <c r="Q524" s="28"/>
      <c r="Y524" s="28"/>
      <c r="AE524" s="59"/>
      <c r="AH524" s="9"/>
      <c r="AI524" s="9"/>
      <c r="AL524" s="9"/>
      <c r="AM524" s="9"/>
      <c r="AP524" s="9"/>
      <c r="AQ524" s="9"/>
      <c r="AT524" s="9"/>
      <c r="AU524" s="9"/>
      <c r="AX524" s="9"/>
      <c r="AY524" s="9"/>
    </row>
    <row r="525" spans="17:51" ht="12.75">
      <c r="Q525" s="28"/>
      <c r="Y525" s="28"/>
      <c r="AE525" s="59"/>
      <c r="AH525" s="9"/>
      <c r="AI525" s="9"/>
      <c r="AL525" s="9"/>
      <c r="AM525" s="9"/>
      <c r="AP525" s="9"/>
      <c r="AQ525" s="9"/>
      <c r="AT525" s="9"/>
      <c r="AU525" s="9"/>
      <c r="AX525" s="9"/>
      <c r="AY525" s="9"/>
    </row>
    <row r="526" spans="17:51" ht="12.75">
      <c r="Q526" s="28"/>
      <c r="Y526" s="28"/>
      <c r="AE526" s="59"/>
      <c r="AH526" s="9"/>
      <c r="AI526" s="9"/>
      <c r="AL526" s="9"/>
      <c r="AM526" s="9"/>
      <c r="AP526" s="9"/>
      <c r="AQ526" s="9"/>
      <c r="AT526" s="9"/>
      <c r="AU526" s="9"/>
      <c r="AX526" s="9"/>
      <c r="AY526" s="9"/>
    </row>
    <row r="527" spans="17:51" ht="12.75">
      <c r="Q527" s="28"/>
      <c r="Y527" s="28"/>
      <c r="AE527" s="59"/>
      <c r="AH527" s="9"/>
      <c r="AI527" s="9"/>
      <c r="AL527" s="9"/>
      <c r="AM527" s="9"/>
      <c r="AP527" s="9"/>
      <c r="AQ527" s="9"/>
      <c r="AT527" s="9"/>
      <c r="AU527" s="9"/>
      <c r="AX527" s="9"/>
      <c r="AY527" s="9"/>
    </row>
    <row r="528" spans="17:51" ht="12.75">
      <c r="Q528" s="28"/>
      <c r="Y528" s="28"/>
      <c r="AE528" s="59"/>
      <c r="AH528" s="9"/>
      <c r="AI528" s="9"/>
      <c r="AL528" s="9"/>
      <c r="AM528" s="9"/>
      <c r="AP528" s="9"/>
      <c r="AQ528" s="9"/>
      <c r="AT528" s="9"/>
      <c r="AU528" s="9"/>
      <c r="AX528" s="9"/>
      <c r="AY528" s="9"/>
    </row>
    <row r="529" spans="17:51" ht="12.75">
      <c r="Q529" s="28"/>
      <c r="Y529" s="28"/>
      <c r="AE529" s="59"/>
      <c r="AH529" s="9"/>
      <c r="AI529" s="9"/>
      <c r="AL529" s="9"/>
      <c r="AM529" s="9"/>
      <c r="AP529" s="9"/>
      <c r="AQ529" s="9"/>
      <c r="AT529" s="9"/>
      <c r="AU529" s="9"/>
      <c r="AX529" s="9"/>
      <c r="AY529" s="9"/>
    </row>
    <row r="530" spans="17:51" ht="12.75">
      <c r="Q530" s="28"/>
      <c r="Y530" s="28"/>
      <c r="AE530" s="59"/>
      <c r="AH530" s="9"/>
      <c r="AI530" s="9"/>
      <c r="AL530" s="9"/>
      <c r="AM530" s="9"/>
      <c r="AP530" s="9"/>
      <c r="AQ530" s="9"/>
      <c r="AT530" s="9"/>
      <c r="AU530" s="9"/>
      <c r="AX530" s="9"/>
      <c r="AY530" s="9"/>
    </row>
    <row r="531" spans="17:51" ht="12.75">
      <c r="Q531" s="28"/>
      <c r="Y531" s="28"/>
      <c r="AE531" s="59"/>
      <c r="AH531" s="9"/>
      <c r="AI531" s="9"/>
      <c r="AL531" s="9"/>
      <c r="AM531" s="9"/>
      <c r="AP531" s="9"/>
      <c r="AQ531" s="9"/>
      <c r="AT531" s="9"/>
      <c r="AU531" s="9"/>
      <c r="AX531" s="9"/>
      <c r="AY531" s="9"/>
    </row>
    <row r="532" spans="17:51" ht="12.75">
      <c r="Q532" s="28"/>
      <c r="Y532" s="28"/>
      <c r="AE532" s="59"/>
      <c r="AH532" s="9"/>
      <c r="AI532" s="9"/>
      <c r="AL532" s="9"/>
      <c r="AM532" s="9"/>
      <c r="AP532" s="9"/>
      <c r="AQ532" s="9"/>
      <c r="AT532" s="9"/>
      <c r="AU532" s="9"/>
      <c r="AX532" s="9"/>
      <c r="AY532" s="9"/>
    </row>
    <row r="533" spans="17:51" ht="12.75">
      <c r="Q533" s="28"/>
      <c r="Y533" s="28"/>
      <c r="AE533" s="59"/>
      <c r="AH533" s="9"/>
      <c r="AI533" s="9"/>
      <c r="AL533" s="9"/>
      <c r="AM533" s="9"/>
      <c r="AP533" s="9"/>
      <c r="AQ533" s="9"/>
      <c r="AT533" s="9"/>
      <c r="AU533" s="9"/>
      <c r="AX533" s="9"/>
      <c r="AY533" s="9"/>
    </row>
    <row r="534" spans="17:51" ht="12.75">
      <c r="Q534" s="28"/>
      <c r="Y534" s="28"/>
      <c r="AE534" s="59"/>
      <c r="AH534" s="9"/>
      <c r="AI534" s="9"/>
      <c r="AL534" s="9"/>
      <c r="AM534" s="9"/>
      <c r="AP534" s="9"/>
      <c r="AQ534" s="9"/>
      <c r="AT534" s="9"/>
      <c r="AU534" s="9"/>
      <c r="AX534" s="9"/>
      <c r="AY534" s="9"/>
    </row>
    <row r="535" spans="17:51" ht="12.75">
      <c r="Q535" s="28"/>
      <c r="Y535" s="28"/>
      <c r="AE535" s="59"/>
      <c r="AH535" s="9"/>
      <c r="AI535" s="9"/>
      <c r="AL535" s="9"/>
      <c r="AM535" s="9"/>
      <c r="AP535" s="9"/>
      <c r="AQ535" s="9"/>
      <c r="AT535" s="9"/>
      <c r="AU535" s="9"/>
      <c r="AX535" s="9"/>
      <c r="AY535" s="9"/>
    </row>
    <row r="536" spans="17:51" ht="12.75">
      <c r="Q536" s="28"/>
      <c r="Y536" s="28"/>
      <c r="AE536" s="59"/>
      <c r="AH536" s="9"/>
      <c r="AI536" s="9"/>
      <c r="AL536" s="9"/>
      <c r="AM536" s="9"/>
      <c r="AP536" s="9"/>
      <c r="AQ536" s="9"/>
      <c r="AT536" s="9"/>
      <c r="AU536" s="9"/>
      <c r="AX536" s="9"/>
      <c r="AY536" s="9"/>
    </row>
    <row r="537" spans="17:51" ht="12.75">
      <c r="Q537" s="28"/>
      <c r="Y537" s="28"/>
      <c r="AE537" s="59"/>
      <c r="AH537" s="9"/>
      <c r="AI537" s="9"/>
      <c r="AL537" s="9"/>
      <c r="AM537" s="9"/>
      <c r="AP537" s="9"/>
      <c r="AQ537" s="9"/>
      <c r="AT537" s="9"/>
      <c r="AU537" s="9"/>
      <c r="AX537" s="9"/>
      <c r="AY537" s="9"/>
    </row>
    <row r="538" spans="17:51" ht="12.75">
      <c r="Q538" s="28"/>
      <c r="Y538" s="28"/>
      <c r="AE538" s="59"/>
      <c r="AH538" s="9"/>
      <c r="AI538" s="9"/>
      <c r="AL538" s="9"/>
      <c r="AM538" s="9"/>
      <c r="AP538" s="9"/>
      <c r="AQ538" s="9"/>
      <c r="AT538" s="9"/>
      <c r="AU538" s="9"/>
      <c r="AX538" s="9"/>
      <c r="AY538" s="9"/>
    </row>
    <row r="539" spans="17:51" ht="12.75">
      <c r="Q539" s="28"/>
      <c r="Y539" s="28"/>
      <c r="AE539" s="59"/>
      <c r="AH539" s="9"/>
      <c r="AI539" s="9"/>
      <c r="AL539" s="9"/>
      <c r="AM539" s="9"/>
      <c r="AP539" s="9"/>
      <c r="AQ539" s="9"/>
      <c r="AT539" s="9"/>
      <c r="AU539" s="9"/>
      <c r="AX539" s="9"/>
      <c r="AY539" s="9"/>
    </row>
    <row r="540" spans="17:51" ht="12.75">
      <c r="Q540" s="28"/>
      <c r="Y540" s="28"/>
      <c r="AE540" s="59"/>
      <c r="AH540" s="9"/>
      <c r="AI540" s="9"/>
      <c r="AL540" s="9"/>
      <c r="AM540" s="9"/>
      <c r="AP540" s="9"/>
      <c r="AQ540" s="9"/>
      <c r="AT540" s="9"/>
      <c r="AU540" s="9"/>
      <c r="AX540" s="9"/>
      <c r="AY540" s="9"/>
    </row>
    <row r="541" spans="17:51" ht="12.75">
      <c r="Q541" s="28"/>
      <c r="Y541" s="28"/>
      <c r="AE541" s="59"/>
      <c r="AH541" s="9"/>
      <c r="AI541" s="9"/>
      <c r="AL541" s="9"/>
      <c r="AM541" s="9"/>
      <c r="AP541" s="9"/>
      <c r="AQ541" s="9"/>
      <c r="AT541" s="9"/>
      <c r="AU541" s="9"/>
      <c r="AX541" s="9"/>
      <c r="AY541" s="9"/>
    </row>
    <row r="542" spans="17:51" ht="12.75">
      <c r="Q542" s="28"/>
      <c r="Y542" s="28"/>
      <c r="AE542" s="59"/>
      <c r="AH542" s="9"/>
      <c r="AI542" s="9"/>
      <c r="AL542" s="9"/>
      <c r="AM542" s="9"/>
      <c r="AP542" s="9"/>
      <c r="AQ542" s="9"/>
      <c r="AT542" s="9"/>
      <c r="AU542" s="9"/>
      <c r="AX542" s="9"/>
      <c r="AY542" s="9"/>
    </row>
    <row r="543" spans="17:51" ht="12.75">
      <c r="Q543" s="28"/>
      <c r="Y543" s="28"/>
      <c r="AE543" s="59"/>
      <c r="AH543" s="9"/>
      <c r="AI543" s="9"/>
      <c r="AL543" s="9"/>
      <c r="AM543" s="9"/>
      <c r="AP543" s="9"/>
      <c r="AQ543" s="9"/>
      <c r="AT543" s="9"/>
      <c r="AU543" s="9"/>
      <c r="AX543" s="9"/>
      <c r="AY543" s="9"/>
    </row>
    <row r="544" spans="17:51" ht="12.75">
      <c r="Q544" s="28"/>
      <c r="Y544" s="28"/>
      <c r="AE544" s="59"/>
      <c r="AH544" s="9"/>
      <c r="AI544" s="9"/>
      <c r="AL544" s="9"/>
      <c r="AM544" s="9"/>
      <c r="AP544" s="9"/>
      <c r="AQ544" s="9"/>
      <c r="AT544" s="9"/>
      <c r="AU544" s="9"/>
      <c r="AX544" s="9"/>
      <c r="AY544" s="9"/>
    </row>
    <row r="545" spans="17:51" ht="12.75">
      <c r="Q545" s="28"/>
      <c r="Y545" s="28"/>
      <c r="AE545" s="59"/>
      <c r="AH545" s="9"/>
      <c r="AI545" s="9"/>
      <c r="AL545" s="9"/>
      <c r="AM545" s="9"/>
      <c r="AP545" s="9"/>
      <c r="AQ545" s="9"/>
      <c r="AT545" s="9"/>
      <c r="AU545" s="9"/>
      <c r="AX545" s="9"/>
      <c r="AY545" s="9"/>
    </row>
    <row r="546" spans="17:51" ht="12.75">
      <c r="Q546" s="28"/>
      <c r="Y546" s="28"/>
      <c r="AE546" s="59"/>
      <c r="AH546" s="9"/>
      <c r="AI546" s="9"/>
      <c r="AL546" s="9"/>
      <c r="AM546" s="9"/>
      <c r="AP546" s="9"/>
      <c r="AQ546" s="9"/>
      <c r="AT546" s="9"/>
      <c r="AU546" s="9"/>
      <c r="AX546" s="9"/>
      <c r="AY546" s="9"/>
    </row>
    <row r="547" spans="17:51" ht="12.75">
      <c r="Q547" s="28"/>
      <c r="Y547" s="28"/>
      <c r="AE547" s="59"/>
      <c r="AH547" s="9"/>
      <c r="AI547" s="9"/>
      <c r="AL547" s="9"/>
      <c r="AM547" s="9"/>
      <c r="AP547" s="9"/>
      <c r="AQ547" s="9"/>
      <c r="AT547" s="9"/>
      <c r="AU547" s="9"/>
      <c r="AX547" s="9"/>
      <c r="AY547" s="9"/>
    </row>
    <row r="548" spans="17:51" ht="12.75">
      <c r="Q548" s="28"/>
      <c r="Y548" s="28"/>
      <c r="AE548" s="59"/>
      <c r="AH548" s="9"/>
      <c r="AI548" s="9"/>
      <c r="AL548" s="9"/>
      <c r="AM548" s="9"/>
      <c r="AP548" s="9"/>
      <c r="AQ548" s="9"/>
      <c r="AT548" s="9"/>
      <c r="AU548" s="9"/>
      <c r="AX548" s="9"/>
      <c r="AY548" s="9"/>
    </row>
    <row r="549" spans="17:51" ht="12.75">
      <c r="Q549" s="28"/>
      <c r="Y549" s="28"/>
      <c r="AE549" s="59"/>
      <c r="AH549" s="9"/>
      <c r="AI549" s="9"/>
      <c r="AL549" s="9"/>
      <c r="AM549" s="9"/>
      <c r="AP549" s="9"/>
      <c r="AQ549" s="9"/>
      <c r="AT549" s="9"/>
      <c r="AU549" s="9"/>
      <c r="AX549" s="9"/>
      <c r="AY549" s="9"/>
    </row>
    <row r="550" spans="17:51" ht="12.75">
      <c r="Q550" s="28"/>
      <c r="Y550" s="28"/>
      <c r="AE550" s="59"/>
      <c r="AH550" s="9"/>
      <c r="AI550" s="9"/>
      <c r="AL550" s="9"/>
      <c r="AM550" s="9"/>
      <c r="AP550" s="9"/>
      <c r="AQ550" s="9"/>
      <c r="AT550" s="9"/>
      <c r="AU550" s="9"/>
      <c r="AX550" s="9"/>
      <c r="AY550" s="9"/>
    </row>
    <row r="551" spans="17:51" ht="12.75">
      <c r="Q551" s="28"/>
      <c r="Y551" s="28"/>
      <c r="AE551" s="59"/>
      <c r="AH551" s="9"/>
      <c r="AI551" s="9"/>
      <c r="AL551" s="9"/>
      <c r="AM551" s="9"/>
      <c r="AP551" s="9"/>
      <c r="AQ551" s="9"/>
      <c r="AT551" s="9"/>
      <c r="AU551" s="9"/>
      <c r="AX551" s="9"/>
      <c r="AY551" s="9"/>
    </row>
    <row r="552" spans="17:51" ht="12.75">
      <c r="Q552" s="28"/>
      <c r="Y552" s="28"/>
      <c r="AE552" s="59"/>
      <c r="AH552" s="9"/>
      <c r="AI552" s="9"/>
      <c r="AL552" s="9"/>
      <c r="AM552" s="9"/>
      <c r="AP552" s="9"/>
      <c r="AQ552" s="9"/>
      <c r="AT552" s="9"/>
      <c r="AU552" s="9"/>
      <c r="AX552" s="9"/>
      <c r="AY552" s="9"/>
    </row>
    <row r="553" spans="17:51" ht="12.75">
      <c r="Q553" s="28"/>
      <c r="Y553" s="28"/>
      <c r="AE553" s="59"/>
      <c r="AH553" s="9"/>
      <c r="AI553" s="9"/>
      <c r="AL553" s="9"/>
      <c r="AM553" s="9"/>
      <c r="AP553" s="9"/>
      <c r="AQ553" s="9"/>
      <c r="AT553" s="9"/>
      <c r="AU553" s="9"/>
      <c r="AX553" s="9"/>
      <c r="AY553" s="9"/>
    </row>
    <row r="554" spans="17:51" ht="12.75">
      <c r="Q554" s="28"/>
      <c r="Y554" s="28"/>
      <c r="AE554" s="59"/>
      <c r="AH554" s="9"/>
      <c r="AI554" s="9"/>
      <c r="AL554" s="9"/>
      <c r="AM554" s="9"/>
      <c r="AP554" s="9"/>
      <c r="AQ554" s="9"/>
      <c r="AT554" s="9"/>
      <c r="AU554" s="9"/>
      <c r="AX554" s="9"/>
      <c r="AY554" s="9"/>
    </row>
    <row r="555" spans="17:51" ht="12.75">
      <c r="Q555" s="28"/>
      <c r="Y555" s="28"/>
      <c r="AE555" s="59"/>
      <c r="AH555" s="9"/>
      <c r="AI555" s="9"/>
      <c r="AL555" s="9"/>
      <c r="AM555" s="9"/>
      <c r="AP555" s="9"/>
      <c r="AQ555" s="9"/>
      <c r="AT555" s="9"/>
      <c r="AU555" s="9"/>
      <c r="AX555" s="9"/>
      <c r="AY555" s="9"/>
    </row>
    <row r="556" spans="17:51" ht="12.75">
      <c r="Q556" s="28"/>
      <c r="Y556" s="28"/>
      <c r="AE556" s="59"/>
      <c r="AH556" s="9"/>
      <c r="AI556" s="9"/>
      <c r="AL556" s="9"/>
      <c r="AM556" s="9"/>
      <c r="AP556" s="9"/>
      <c r="AQ556" s="9"/>
      <c r="AT556" s="9"/>
      <c r="AU556" s="9"/>
      <c r="AX556" s="9"/>
      <c r="AY556" s="9"/>
    </row>
    <row r="557" spans="17:51" ht="12.75">
      <c r="Q557" s="28"/>
      <c r="Y557" s="28"/>
      <c r="AE557" s="59"/>
      <c r="AH557" s="9"/>
      <c r="AI557" s="9"/>
      <c r="AL557" s="9"/>
      <c r="AM557" s="9"/>
      <c r="AP557" s="9"/>
      <c r="AQ557" s="9"/>
      <c r="AT557" s="9"/>
      <c r="AU557" s="9"/>
      <c r="AX557" s="9"/>
      <c r="AY557" s="9"/>
    </row>
    <row r="558" spans="17:51" ht="12.75">
      <c r="Q558" s="28"/>
      <c r="Y558" s="28"/>
      <c r="AE558" s="59"/>
      <c r="AH558" s="9"/>
      <c r="AI558" s="9"/>
      <c r="AL558" s="9"/>
      <c r="AM558" s="9"/>
      <c r="AP558" s="9"/>
      <c r="AQ558" s="9"/>
      <c r="AT558" s="9"/>
      <c r="AU558" s="9"/>
      <c r="AX558" s="9"/>
      <c r="AY558" s="9"/>
    </row>
    <row r="559" spans="17:51" ht="12.75">
      <c r="Q559" s="28"/>
      <c r="Y559" s="28"/>
      <c r="AE559" s="59"/>
      <c r="AH559" s="9"/>
      <c r="AI559" s="9"/>
      <c r="AL559" s="9"/>
      <c r="AM559" s="9"/>
      <c r="AP559" s="9"/>
      <c r="AQ559" s="9"/>
      <c r="AT559" s="9"/>
      <c r="AU559" s="9"/>
      <c r="AX559" s="9"/>
      <c r="AY559" s="9"/>
    </row>
    <row r="560" spans="17:51" ht="12.75">
      <c r="Q560" s="28"/>
      <c r="Y560" s="28"/>
      <c r="AE560" s="59"/>
      <c r="AH560" s="9"/>
      <c r="AI560" s="9"/>
      <c r="AL560" s="9"/>
      <c r="AM560" s="9"/>
      <c r="AP560" s="9"/>
      <c r="AQ560" s="9"/>
      <c r="AT560" s="9"/>
      <c r="AU560" s="9"/>
      <c r="AX560" s="9"/>
      <c r="AY560" s="9"/>
    </row>
    <row r="561" spans="17:51" ht="12.75">
      <c r="Q561" s="28"/>
      <c r="Y561" s="28"/>
      <c r="AE561" s="59"/>
      <c r="AH561" s="9"/>
      <c r="AI561" s="9"/>
      <c r="AL561" s="9"/>
      <c r="AM561" s="9"/>
      <c r="AP561" s="9"/>
      <c r="AQ561" s="9"/>
      <c r="AT561" s="9"/>
      <c r="AU561" s="9"/>
      <c r="AX561" s="9"/>
      <c r="AY561" s="9"/>
    </row>
    <row r="562" spans="17:51" ht="12.75">
      <c r="Q562" s="28"/>
      <c r="Y562" s="28"/>
      <c r="AE562" s="59"/>
      <c r="AH562" s="9"/>
      <c r="AI562" s="9"/>
      <c r="AL562" s="9"/>
      <c r="AM562" s="9"/>
      <c r="AP562" s="9"/>
      <c r="AQ562" s="9"/>
      <c r="AT562" s="9"/>
      <c r="AU562" s="9"/>
      <c r="AX562" s="9"/>
      <c r="AY562" s="9"/>
    </row>
    <row r="563" spans="17:51" ht="12.75">
      <c r="Q563" s="28"/>
      <c r="Y563" s="28"/>
      <c r="AE563" s="59"/>
      <c r="AH563" s="9"/>
      <c r="AI563" s="9"/>
      <c r="AL563" s="9"/>
      <c r="AM563" s="9"/>
      <c r="AP563" s="9"/>
      <c r="AQ563" s="9"/>
      <c r="AT563" s="9"/>
      <c r="AU563" s="9"/>
      <c r="AX563" s="9"/>
      <c r="AY563" s="9"/>
    </row>
    <row r="564" spans="17:51" ht="12.75">
      <c r="Q564" s="28"/>
      <c r="Y564" s="28"/>
      <c r="AE564" s="59"/>
      <c r="AH564" s="9"/>
      <c r="AI564" s="9"/>
      <c r="AL564" s="9"/>
      <c r="AM564" s="9"/>
      <c r="AP564" s="9"/>
      <c r="AQ564" s="9"/>
      <c r="AT564" s="9"/>
      <c r="AU564" s="9"/>
      <c r="AX564" s="9"/>
      <c r="AY564" s="9"/>
    </row>
    <row r="565" spans="17:51" ht="12.75">
      <c r="Q565" s="28"/>
      <c r="Y565" s="28"/>
      <c r="AE565" s="59"/>
      <c r="AH565" s="9"/>
      <c r="AI565" s="9"/>
      <c r="AL565" s="9"/>
      <c r="AM565" s="9"/>
      <c r="AP565" s="9"/>
      <c r="AQ565" s="9"/>
      <c r="AT565" s="9"/>
      <c r="AU565" s="9"/>
      <c r="AX565" s="9"/>
      <c r="AY565" s="9"/>
    </row>
    <row r="566" spans="17:51" ht="12.75">
      <c r="Q566" s="28"/>
      <c r="Y566" s="28"/>
      <c r="AE566" s="59"/>
      <c r="AH566" s="9"/>
      <c r="AI566" s="9"/>
      <c r="AL566" s="9"/>
      <c r="AM566" s="9"/>
      <c r="AP566" s="9"/>
      <c r="AQ566" s="9"/>
      <c r="AT566" s="9"/>
      <c r="AU566" s="9"/>
      <c r="AX566" s="9"/>
      <c r="AY566" s="9"/>
    </row>
    <row r="567" spans="17:51" ht="12.75">
      <c r="Q567" s="28"/>
      <c r="Y567" s="28"/>
      <c r="AE567" s="59"/>
      <c r="AH567" s="9"/>
      <c r="AI567" s="9"/>
      <c r="AL567" s="9"/>
      <c r="AM567" s="9"/>
      <c r="AP567" s="9"/>
      <c r="AQ567" s="9"/>
      <c r="AT567" s="9"/>
      <c r="AU567" s="9"/>
      <c r="AX567" s="9"/>
      <c r="AY567" s="9"/>
    </row>
    <row r="568" spans="17:51" ht="12.75">
      <c r="Q568" s="28"/>
      <c r="Y568" s="28"/>
      <c r="AE568" s="59"/>
      <c r="AH568" s="9"/>
      <c r="AI568" s="9"/>
      <c r="AL568" s="9"/>
      <c r="AM568" s="9"/>
      <c r="AP568" s="9"/>
      <c r="AQ568" s="9"/>
      <c r="AT568" s="9"/>
      <c r="AU568" s="9"/>
      <c r="AX568" s="9"/>
      <c r="AY568" s="9"/>
    </row>
    <row r="569" spans="17:51" ht="12.75">
      <c r="Q569" s="28"/>
      <c r="Y569" s="28"/>
      <c r="AE569" s="59"/>
      <c r="AH569" s="9"/>
      <c r="AI569" s="9"/>
      <c r="AL569" s="9"/>
      <c r="AM569" s="9"/>
      <c r="AP569" s="9"/>
      <c r="AQ569" s="9"/>
      <c r="AT569" s="9"/>
      <c r="AU569" s="9"/>
      <c r="AX569" s="9"/>
      <c r="AY569" s="9"/>
    </row>
    <row r="570" spans="17:51" ht="12.75">
      <c r="Q570" s="28"/>
      <c r="Y570" s="28"/>
      <c r="AE570" s="59"/>
      <c r="AH570" s="9"/>
      <c r="AI570" s="9"/>
      <c r="AL570" s="9"/>
      <c r="AM570" s="9"/>
      <c r="AP570" s="9"/>
      <c r="AQ570" s="9"/>
      <c r="AT570" s="9"/>
      <c r="AU570" s="9"/>
      <c r="AX570" s="9"/>
      <c r="AY570" s="9"/>
    </row>
    <row r="571" spans="17:51" ht="12.75">
      <c r="Q571" s="28"/>
      <c r="Y571" s="28"/>
      <c r="AE571" s="59"/>
      <c r="AH571" s="9"/>
      <c r="AI571" s="9"/>
      <c r="AL571" s="9"/>
      <c r="AM571" s="9"/>
      <c r="AP571" s="9"/>
      <c r="AQ571" s="9"/>
      <c r="AT571" s="9"/>
      <c r="AU571" s="9"/>
      <c r="AX571" s="9"/>
      <c r="AY571" s="9"/>
    </row>
    <row r="572" spans="17:51" ht="12.75">
      <c r="Q572" s="28"/>
      <c r="Y572" s="28"/>
      <c r="AE572" s="59"/>
      <c r="AH572" s="9"/>
      <c r="AI572" s="9"/>
      <c r="AL572" s="9"/>
      <c r="AM572" s="9"/>
      <c r="AP572" s="9"/>
      <c r="AQ572" s="9"/>
      <c r="AT572" s="9"/>
      <c r="AU572" s="9"/>
      <c r="AX572" s="9"/>
      <c r="AY572" s="9"/>
    </row>
    <row r="573" spans="17:51" ht="12.75">
      <c r="Q573" s="28"/>
      <c r="Y573" s="28"/>
      <c r="AE573" s="59"/>
      <c r="AH573" s="9"/>
      <c r="AI573" s="9"/>
      <c r="AL573" s="9"/>
      <c r="AM573" s="9"/>
      <c r="AP573" s="9"/>
      <c r="AQ573" s="9"/>
      <c r="AT573" s="9"/>
      <c r="AU573" s="9"/>
      <c r="AX573" s="9"/>
      <c r="AY573" s="9"/>
    </row>
    <row r="574" spans="17:51" ht="12.75">
      <c r="Q574" s="28"/>
      <c r="Y574" s="28"/>
      <c r="AE574" s="59"/>
      <c r="AH574" s="9"/>
      <c r="AI574" s="9"/>
      <c r="AL574" s="9"/>
      <c r="AM574" s="9"/>
      <c r="AP574" s="9"/>
      <c r="AQ574" s="9"/>
      <c r="AT574" s="9"/>
      <c r="AU574" s="9"/>
      <c r="AX574" s="9"/>
      <c r="AY574" s="9"/>
    </row>
    <row r="575" spans="17:51" ht="12.75">
      <c r="Q575" s="28"/>
      <c r="Y575" s="28"/>
      <c r="AE575" s="59"/>
      <c r="AH575" s="9"/>
      <c r="AI575" s="9"/>
      <c r="AL575" s="9"/>
      <c r="AM575" s="9"/>
      <c r="AP575" s="9"/>
      <c r="AQ575" s="9"/>
      <c r="AT575" s="9"/>
      <c r="AU575" s="9"/>
      <c r="AX575" s="9"/>
      <c r="AY575" s="9"/>
    </row>
    <row r="576" spans="17:51" ht="12.75">
      <c r="Q576" s="28"/>
      <c r="Y576" s="28"/>
      <c r="AE576" s="59"/>
      <c r="AH576" s="9"/>
      <c r="AI576" s="9"/>
      <c r="AL576" s="9"/>
      <c r="AM576" s="9"/>
      <c r="AP576" s="9"/>
      <c r="AQ576" s="9"/>
      <c r="AT576" s="9"/>
      <c r="AU576" s="9"/>
      <c r="AX576" s="9"/>
      <c r="AY576" s="9"/>
    </row>
    <row r="577" spans="17:51" ht="12.75">
      <c r="Q577" s="28"/>
      <c r="Y577" s="28"/>
      <c r="AE577" s="59"/>
      <c r="AH577" s="9"/>
      <c r="AI577" s="9"/>
      <c r="AL577" s="9"/>
      <c r="AM577" s="9"/>
      <c r="AP577" s="9"/>
      <c r="AQ577" s="9"/>
      <c r="AT577" s="9"/>
      <c r="AU577" s="9"/>
      <c r="AX577" s="9"/>
      <c r="AY577" s="9"/>
    </row>
    <row r="578" spans="17:51" ht="12.75">
      <c r="Q578" s="28"/>
      <c r="Y578" s="28"/>
      <c r="AE578" s="59"/>
      <c r="AH578" s="9"/>
      <c r="AI578" s="9"/>
      <c r="AL578" s="9"/>
      <c r="AM578" s="9"/>
      <c r="AP578" s="9"/>
      <c r="AQ578" s="9"/>
      <c r="AT578" s="9"/>
      <c r="AU578" s="9"/>
      <c r="AX578" s="9"/>
      <c r="AY578" s="9"/>
    </row>
    <row r="579" spans="17:51" ht="12.75">
      <c r="Q579" s="28"/>
      <c r="Y579" s="28"/>
      <c r="AE579" s="59"/>
      <c r="AH579" s="9"/>
      <c r="AI579" s="9"/>
      <c r="AL579" s="9"/>
      <c r="AM579" s="9"/>
      <c r="AP579" s="9"/>
      <c r="AQ579" s="9"/>
      <c r="AT579" s="9"/>
      <c r="AU579" s="9"/>
      <c r="AX579" s="9"/>
      <c r="AY579" s="9"/>
    </row>
    <row r="580" spans="17:51" ht="12.75">
      <c r="Q580" s="28"/>
      <c r="Y580" s="28"/>
      <c r="AE580" s="59"/>
      <c r="AH580" s="9"/>
      <c r="AI580" s="9"/>
      <c r="AL580" s="9"/>
      <c r="AM580" s="9"/>
      <c r="AP580" s="9"/>
      <c r="AQ580" s="9"/>
      <c r="AT580" s="9"/>
      <c r="AU580" s="9"/>
      <c r="AX580" s="9"/>
      <c r="AY580" s="9"/>
    </row>
    <row r="581" spans="17:51" ht="12.75">
      <c r="Q581" s="28"/>
      <c r="Y581" s="28"/>
      <c r="AE581" s="59"/>
      <c r="AH581" s="9"/>
      <c r="AI581" s="9"/>
      <c r="AL581" s="9"/>
      <c r="AM581" s="9"/>
      <c r="AP581" s="9"/>
      <c r="AQ581" s="9"/>
      <c r="AT581" s="9"/>
      <c r="AU581" s="9"/>
      <c r="AX581" s="9"/>
      <c r="AY581" s="9"/>
    </row>
    <row r="582" spans="17:51" ht="12.75">
      <c r="Q582" s="28"/>
      <c r="Y582" s="28"/>
      <c r="AE582" s="59"/>
      <c r="AH582" s="9"/>
      <c r="AI582" s="9"/>
      <c r="AL582" s="9"/>
      <c r="AM582" s="9"/>
      <c r="AP582" s="9"/>
      <c r="AQ582" s="9"/>
      <c r="AT582" s="9"/>
      <c r="AU582" s="9"/>
      <c r="AX582" s="9"/>
      <c r="AY582" s="9"/>
    </row>
    <row r="583" spans="17:51" ht="12.75">
      <c r="Q583" s="28"/>
      <c r="Y583" s="28"/>
      <c r="AE583" s="59"/>
      <c r="AH583" s="9"/>
      <c r="AI583" s="9"/>
      <c r="AL583" s="9"/>
      <c r="AM583" s="9"/>
      <c r="AP583" s="9"/>
      <c r="AQ583" s="9"/>
      <c r="AT583" s="9"/>
      <c r="AU583" s="9"/>
      <c r="AX583" s="9"/>
      <c r="AY583" s="9"/>
    </row>
    <row r="584" spans="17:51" ht="12.75">
      <c r="Q584" s="28"/>
      <c r="Y584" s="28"/>
      <c r="AE584" s="59"/>
      <c r="AH584" s="9"/>
      <c r="AI584" s="9"/>
      <c r="AL584" s="9"/>
      <c r="AM584" s="9"/>
      <c r="AP584" s="9"/>
      <c r="AQ584" s="9"/>
      <c r="AT584" s="9"/>
      <c r="AU584" s="9"/>
      <c r="AX584" s="9"/>
      <c r="AY584" s="9"/>
    </row>
    <row r="585" spans="17:51" ht="12.75">
      <c r="Q585" s="28"/>
      <c r="Y585" s="28"/>
      <c r="AE585" s="59"/>
      <c r="AH585" s="9"/>
      <c r="AI585" s="9"/>
      <c r="AL585" s="9"/>
      <c r="AM585" s="9"/>
      <c r="AP585" s="9"/>
      <c r="AQ585" s="9"/>
      <c r="AT585" s="9"/>
      <c r="AU585" s="9"/>
      <c r="AX585" s="9"/>
      <c r="AY585" s="9"/>
    </row>
    <row r="586" spans="17:51" ht="12.75">
      <c r="Q586" s="28"/>
      <c r="Y586" s="28"/>
      <c r="AE586" s="59"/>
      <c r="AH586" s="9"/>
      <c r="AI586" s="9"/>
      <c r="AL586" s="9"/>
      <c r="AM586" s="9"/>
      <c r="AP586" s="9"/>
      <c r="AQ586" s="9"/>
      <c r="AT586" s="9"/>
      <c r="AU586" s="9"/>
      <c r="AX586" s="9"/>
      <c r="AY586" s="9"/>
    </row>
    <row r="587" spans="17:51" ht="12.75">
      <c r="Q587" s="28"/>
      <c r="Y587" s="28"/>
      <c r="AE587" s="59"/>
      <c r="AH587" s="9"/>
      <c r="AI587" s="9"/>
      <c r="AL587" s="9"/>
      <c r="AM587" s="9"/>
      <c r="AP587" s="9"/>
      <c r="AQ587" s="9"/>
      <c r="AT587" s="9"/>
      <c r="AU587" s="9"/>
      <c r="AX587" s="9"/>
      <c r="AY587" s="9"/>
    </row>
    <row r="588" spans="17:51" ht="12.75">
      <c r="Q588" s="28"/>
      <c r="Y588" s="28"/>
      <c r="AE588" s="59"/>
      <c r="AH588" s="9"/>
      <c r="AI588" s="9"/>
      <c r="AL588" s="9"/>
      <c r="AM588" s="9"/>
      <c r="AP588" s="9"/>
      <c r="AQ588" s="9"/>
      <c r="AT588" s="9"/>
      <c r="AU588" s="9"/>
      <c r="AX588" s="9"/>
      <c r="AY588" s="9"/>
    </row>
    <row r="589" spans="17:51" ht="12.75">
      <c r="Q589" s="28"/>
      <c r="Y589" s="28"/>
      <c r="AE589" s="59"/>
      <c r="AH589" s="9"/>
      <c r="AI589" s="9"/>
      <c r="AL589" s="9"/>
      <c r="AM589" s="9"/>
      <c r="AP589" s="9"/>
      <c r="AQ589" s="9"/>
      <c r="AT589" s="9"/>
      <c r="AU589" s="9"/>
      <c r="AX589" s="9"/>
      <c r="AY589" s="9"/>
    </row>
    <row r="590" spans="17:51" ht="12.75">
      <c r="Q590" s="28"/>
      <c r="Y590" s="28"/>
      <c r="AE590" s="59"/>
      <c r="AH590" s="9"/>
      <c r="AI590" s="9"/>
      <c r="AL590" s="9"/>
      <c r="AM590" s="9"/>
      <c r="AP590" s="9"/>
      <c r="AQ590" s="9"/>
      <c r="AT590" s="9"/>
      <c r="AU590" s="9"/>
      <c r="AX590" s="9"/>
      <c r="AY590" s="9"/>
    </row>
    <row r="591" spans="17:51" ht="12.75">
      <c r="Q591" s="28"/>
      <c r="Y591" s="28"/>
      <c r="AE591" s="59"/>
      <c r="AH591" s="9"/>
      <c r="AI591" s="9"/>
      <c r="AL591" s="9"/>
      <c r="AM591" s="9"/>
      <c r="AP591" s="9"/>
      <c r="AQ591" s="9"/>
      <c r="AT591" s="9"/>
      <c r="AU591" s="9"/>
      <c r="AX591" s="9"/>
      <c r="AY591" s="9"/>
    </row>
    <row r="592" spans="17:51" ht="12.75">
      <c r="Q592" s="28"/>
      <c r="Y592" s="28"/>
      <c r="AE592" s="59"/>
      <c r="AH592" s="9"/>
      <c r="AI592" s="9"/>
      <c r="AL592" s="9"/>
      <c r="AM592" s="9"/>
      <c r="AP592" s="9"/>
      <c r="AQ592" s="9"/>
      <c r="AT592" s="9"/>
      <c r="AU592" s="9"/>
      <c r="AX592" s="9"/>
      <c r="AY592" s="9"/>
    </row>
    <row r="593" spans="17:51" ht="12.75">
      <c r="Q593" s="28"/>
      <c r="Y593" s="28"/>
      <c r="AE593" s="59"/>
      <c r="AH593" s="9"/>
      <c r="AI593" s="9"/>
      <c r="AL593" s="9"/>
      <c r="AM593" s="9"/>
      <c r="AP593" s="9"/>
      <c r="AQ593" s="9"/>
      <c r="AT593" s="9"/>
      <c r="AU593" s="9"/>
      <c r="AX593" s="9"/>
      <c r="AY593" s="9"/>
    </row>
    <row r="594" spans="17:51" ht="12.75">
      <c r="Q594" s="28"/>
      <c r="Y594" s="28"/>
      <c r="AE594" s="59"/>
      <c r="AH594" s="9"/>
      <c r="AI594" s="9"/>
      <c r="AL594" s="9"/>
      <c r="AM594" s="9"/>
      <c r="AP594" s="9"/>
      <c r="AQ594" s="9"/>
      <c r="AT594" s="9"/>
      <c r="AU594" s="9"/>
      <c r="AX594" s="9"/>
      <c r="AY594" s="9"/>
    </row>
    <row r="595" spans="17:51" ht="12.75">
      <c r="Q595" s="28"/>
      <c r="Y595" s="28"/>
      <c r="AE595" s="59"/>
      <c r="AH595" s="9"/>
      <c r="AI595" s="9"/>
      <c r="AL595" s="9"/>
      <c r="AM595" s="9"/>
      <c r="AP595" s="9"/>
      <c r="AQ595" s="9"/>
      <c r="AT595" s="9"/>
      <c r="AU595" s="9"/>
      <c r="AX595" s="9"/>
      <c r="AY595" s="9"/>
    </row>
    <row r="596" spans="17:51" ht="12.75">
      <c r="Q596" s="28"/>
      <c r="Y596" s="28"/>
      <c r="AE596" s="59"/>
      <c r="AH596" s="9"/>
      <c r="AI596" s="9"/>
      <c r="AL596" s="9"/>
      <c r="AM596" s="9"/>
      <c r="AP596" s="9"/>
      <c r="AQ596" s="9"/>
      <c r="AT596" s="9"/>
      <c r="AU596" s="9"/>
      <c r="AX596" s="9"/>
      <c r="AY596" s="9"/>
    </row>
    <row r="597" spans="17:51" ht="12.75">
      <c r="Q597" s="28"/>
      <c r="Y597" s="28"/>
      <c r="AE597" s="59"/>
      <c r="AH597" s="9"/>
      <c r="AI597" s="9"/>
      <c r="AL597" s="9"/>
      <c r="AM597" s="9"/>
      <c r="AP597" s="9"/>
      <c r="AQ597" s="9"/>
      <c r="AT597" s="9"/>
      <c r="AU597" s="9"/>
      <c r="AX597" s="9"/>
      <c r="AY597" s="9"/>
    </row>
    <row r="598" spans="17:51" ht="12.75">
      <c r="Q598" s="28"/>
      <c r="Y598" s="28"/>
      <c r="AE598" s="59"/>
      <c r="AH598" s="9"/>
      <c r="AI598" s="9"/>
      <c r="AL598" s="9"/>
      <c r="AM598" s="9"/>
      <c r="AP598" s="9"/>
      <c r="AQ598" s="9"/>
      <c r="AT598" s="9"/>
      <c r="AU598" s="9"/>
      <c r="AX598" s="9"/>
      <c r="AY598" s="9"/>
    </row>
    <row r="599" spans="17:51" ht="12.75">
      <c r="Q599" s="28"/>
      <c r="Y599" s="28"/>
      <c r="AE599" s="59"/>
      <c r="AH599" s="9"/>
      <c r="AI599" s="9"/>
      <c r="AL599" s="9"/>
      <c r="AM599" s="9"/>
      <c r="AP599" s="9"/>
      <c r="AQ599" s="9"/>
      <c r="AT599" s="9"/>
      <c r="AU599" s="9"/>
      <c r="AX599" s="9"/>
      <c r="AY599" s="9"/>
    </row>
    <row r="600" spans="17:51" ht="12.75">
      <c r="Q600" s="28"/>
      <c r="Y600" s="28"/>
      <c r="AE600" s="59"/>
      <c r="AH600" s="9"/>
      <c r="AI600" s="9"/>
      <c r="AL600" s="9"/>
      <c r="AM600" s="9"/>
      <c r="AP600" s="9"/>
      <c r="AQ600" s="9"/>
      <c r="AT600" s="9"/>
      <c r="AU600" s="9"/>
      <c r="AX600" s="9"/>
      <c r="AY600" s="9"/>
    </row>
    <row r="601" spans="17:51" ht="12.75">
      <c r="Q601" s="28"/>
      <c r="Y601" s="28"/>
      <c r="AE601" s="59"/>
      <c r="AH601" s="9"/>
      <c r="AI601" s="9"/>
      <c r="AL601" s="9"/>
      <c r="AM601" s="9"/>
      <c r="AP601" s="9"/>
      <c r="AQ601" s="9"/>
      <c r="AT601" s="9"/>
      <c r="AU601" s="9"/>
      <c r="AX601" s="9"/>
      <c r="AY601" s="9"/>
    </row>
    <row r="602" spans="17:51" ht="12.75">
      <c r="Q602" s="28"/>
      <c r="Y602" s="28"/>
      <c r="AE602" s="59"/>
      <c r="AH602" s="9"/>
      <c r="AI602" s="9"/>
      <c r="AL602" s="9"/>
      <c r="AM602" s="9"/>
      <c r="AP602" s="9"/>
      <c r="AQ602" s="9"/>
      <c r="AT602" s="9"/>
      <c r="AU602" s="9"/>
      <c r="AX602" s="9"/>
      <c r="AY602" s="9"/>
    </row>
    <row r="603" spans="17:51" ht="12.75">
      <c r="Q603" s="28"/>
      <c r="Y603" s="28"/>
      <c r="AE603" s="59"/>
      <c r="AH603" s="9"/>
      <c r="AI603" s="9"/>
      <c r="AL603" s="9"/>
      <c r="AM603" s="9"/>
      <c r="AP603" s="9"/>
      <c r="AQ603" s="9"/>
      <c r="AT603" s="9"/>
      <c r="AU603" s="9"/>
      <c r="AX603" s="9"/>
      <c r="AY603" s="9"/>
    </row>
    <row r="604" spans="17:51" ht="12.75">
      <c r="Q604" s="28"/>
      <c r="Y604" s="28"/>
      <c r="AE604" s="59"/>
      <c r="AH604" s="9"/>
      <c r="AI604" s="9"/>
      <c r="AL604" s="9"/>
      <c r="AM604" s="9"/>
      <c r="AP604" s="9"/>
      <c r="AQ604" s="9"/>
      <c r="AT604" s="9"/>
      <c r="AU604" s="9"/>
      <c r="AX604" s="9"/>
      <c r="AY604" s="9"/>
    </row>
    <row r="605" spans="17:51" ht="12.75">
      <c r="Q605" s="28"/>
      <c r="Y605" s="28"/>
      <c r="AE605" s="59"/>
      <c r="AH605" s="9"/>
      <c r="AI605" s="9"/>
      <c r="AL605" s="9"/>
      <c r="AM605" s="9"/>
      <c r="AP605" s="9"/>
      <c r="AQ605" s="9"/>
      <c r="AT605" s="9"/>
      <c r="AU605" s="9"/>
      <c r="AX605" s="9"/>
      <c r="AY605" s="9"/>
    </row>
    <row r="606" spans="17:51" ht="12.75">
      <c r="Q606" s="28"/>
      <c r="Y606" s="28"/>
      <c r="AE606" s="59"/>
      <c r="AH606" s="9"/>
      <c r="AI606" s="9"/>
      <c r="AL606" s="9"/>
      <c r="AM606" s="9"/>
      <c r="AP606" s="9"/>
      <c r="AQ606" s="9"/>
      <c r="AT606" s="9"/>
      <c r="AU606" s="9"/>
      <c r="AX606" s="9"/>
      <c r="AY606" s="9"/>
    </row>
    <row r="607" spans="17:51" ht="12.75">
      <c r="Q607" s="28"/>
      <c r="Y607" s="28"/>
      <c r="AE607" s="59"/>
      <c r="AH607" s="9"/>
      <c r="AI607" s="9"/>
      <c r="AL607" s="9"/>
      <c r="AM607" s="9"/>
      <c r="AP607" s="9"/>
      <c r="AQ607" s="9"/>
      <c r="AT607" s="9"/>
      <c r="AU607" s="9"/>
      <c r="AX607" s="9"/>
      <c r="AY607" s="9"/>
    </row>
    <row r="608" spans="17:51" ht="12.75">
      <c r="Q608" s="28"/>
      <c r="Y608" s="28"/>
      <c r="AE608" s="59"/>
      <c r="AH608" s="9"/>
      <c r="AI608" s="9"/>
      <c r="AL608" s="9"/>
      <c r="AM608" s="9"/>
      <c r="AP608" s="9"/>
      <c r="AQ608" s="9"/>
      <c r="AT608" s="9"/>
      <c r="AU608" s="9"/>
      <c r="AX608" s="9"/>
      <c r="AY608" s="9"/>
    </row>
    <row r="609" spans="17:51" ht="12.75">
      <c r="Q609" s="28"/>
      <c r="Y609" s="28"/>
      <c r="AE609" s="59"/>
      <c r="AH609" s="9"/>
      <c r="AI609" s="9"/>
      <c r="AL609" s="9"/>
      <c r="AM609" s="9"/>
      <c r="AP609" s="9"/>
      <c r="AQ609" s="9"/>
      <c r="AT609" s="9"/>
      <c r="AU609" s="9"/>
      <c r="AX609" s="9"/>
      <c r="AY609" s="9"/>
    </row>
    <row r="610" spans="17:51" ht="12.75">
      <c r="Q610" s="28"/>
      <c r="Y610" s="28"/>
      <c r="AE610" s="59"/>
      <c r="AH610" s="9"/>
      <c r="AI610" s="9"/>
      <c r="AL610" s="9"/>
      <c r="AM610" s="9"/>
      <c r="AP610" s="9"/>
      <c r="AQ610" s="9"/>
      <c r="AT610" s="9"/>
      <c r="AU610" s="9"/>
      <c r="AX610" s="9"/>
      <c r="AY610" s="9"/>
    </row>
    <row r="611" spans="17:51" ht="12.75">
      <c r="Q611" s="28"/>
      <c r="Y611" s="28"/>
      <c r="AE611" s="59"/>
      <c r="AH611" s="9"/>
      <c r="AI611" s="9"/>
      <c r="AL611" s="9"/>
      <c r="AM611" s="9"/>
      <c r="AP611" s="9"/>
      <c r="AQ611" s="9"/>
      <c r="AT611" s="9"/>
      <c r="AU611" s="9"/>
      <c r="AX611" s="9"/>
      <c r="AY611" s="9"/>
    </row>
    <row r="612" spans="17:51" ht="12.75">
      <c r="Q612" s="28"/>
      <c r="Y612" s="28"/>
      <c r="AE612" s="59"/>
      <c r="AH612" s="9"/>
      <c r="AI612" s="9"/>
      <c r="AL612" s="9"/>
      <c r="AM612" s="9"/>
      <c r="AP612" s="9"/>
      <c r="AQ612" s="9"/>
      <c r="AT612" s="9"/>
      <c r="AU612" s="9"/>
      <c r="AX612" s="9"/>
      <c r="AY612" s="9"/>
    </row>
    <row r="613" spans="17:51" ht="12.75">
      <c r="Q613" s="28"/>
      <c r="Y613" s="28"/>
      <c r="AE613" s="59"/>
      <c r="AH613" s="9"/>
      <c r="AI613" s="9"/>
      <c r="AL613" s="9"/>
      <c r="AM613" s="9"/>
      <c r="AP613" s="9"/>
      <c r="AQ613" s="9"/>
      <c r="AT613" s="9"/>
      <c r="AU613" s="9"/>
      <c r="AX613" s="9"/>
      <c r="AY613" s="9"/>
    </row>
    <row r="614" spans="17:51" ht="12.75">
      <c r="Q614" s="28"/>
      <c r="Y614" s="28"/>
      <c r="AE614" s="59"/>
      <c r="AH614" s="9"/>
      <c r="AI614" s="9"/>
      <c r="AL614" s="9"/>
      <c r="AM614" s="9"/>
      <c r="AP614" s="9"/>
      <c r="AQ614" s="9"/>
      <c r="AT614" s="9"/>
      <c r="AU614" s="9"/>
      <c r="AX614" s="9"/>
      <c r="AY614" s="9"/>
    </row>
    <row r="615" spans="17:51" ht="12.75">
      <c r="Q615" s="28"/>
      <c r="Y615" s="28"/>
      <c r="AE615" s="59"/>
      <c r="AH615" s="9"/>
      <c r="AI615" s="9"/>
      <c r="AL615" s="9"/>
      <c r="AM615" s="9"/>
      <c r="AP615" s="9"/>
      <c r="AQ615" s="9"/>
      <c r="AT615" s="9"/>
      <c r="AU615" s="9"/>
      <c r="AX615" s="9"/>
      <c r="AY615" s="9"/>
    </row>
    <row r="616" spans="17:51" ht="12.75">
      <c r="Q616" s="28"/>
      <c r="Y616" s="28"/>
      <c r="AE616" s="59"/>
      <c r="AH616" s="9"/>
      <c r="AI616" s="9"/>
      <c r="AL616" s="9"/>
      <c r="AM616" s="9"/>
      <c r="AP616" s="9"/>
      <c r="AQ616" s="9"/>
      <c r="AT616" s="9"/>
      <c r="AU616" s="9"/>
      <c r="AX616" s="9"/>
      <c r="AY616" s="9"/>
    </row>
    <row r="617" spans="17:51" ht="12.75">
      <c r="Q617" s="28"/>
      <c r="Y617" s="28"/>
      <c r="AE617" s="59"/>
      <c r="AH617" s="9"/>
      <c r="AI617" s="9"/>
      <c r="AL617" s="9"/>
      <c r="AM617" s="9"/>
      <c r="AP617" s="9"/>
      <c r="AQ617" s="9"/>
      <c r="AT617" s="9"/>
      <c r="AU617" s="9"/>
      <c r="AX617" s="9"/>
      <c r="AY617" s="9"/>
    </row>
    <row r="618" spans="17:51" ht="12.75">
      <c r="Q618" s="28"/>
      <c r="Y618" s="28"/>
      <c r="AE618" s="59"/>
      <c r="AH618" s="9"/>
      <c r="AI618" s="9"/>
      <c r="AL618" s="9"/>
      <c r="AM618" s="9"/>
      <c r="AP618" s="9"/>
      <c r="AQ618" s="9"/>
      <c r="AT618" s="9"/>
      <c r="AU618" s="9"/>
      <c r="AX618" s="9"/>
      <c r="AY618" s="9"/>
    </row>
    <row r="619" spans="17:51" ht="12.75">
      <c r="Q619" s="28"/>
      <c r="Y619" s="28"/>
      <c r="AE619" s="59"/>
      <c r="AH619" s="9"/>
      <c r="AI619" s="9"/>
      <c r="AL619" s="9"/>
      <c r="AM619" s="9"/>
      <c r="AP619" s="9"/>
      <c r="AQ619" s="9"/>
      <c r="AT619" s="9"/>
      <c r="AU619" s="9"/>
      <c r="AX619" s="9"/>
      <c r="AY619" s="9"/>
    </row>
    <row r="620" spans="17:51" ht="12.75">
      <c r="Q620" s="28"/>
      <c r="Y620" s="28"/>
      <c r="AE620" s="59"/>
      <c r="AH620" s="9"/>
      <c r="AI620" s="9"/>
      <c r="AL620" s="9"/>
      <c r="AM620" s="9"/>
      <c r="AP620" s="9"/>
      <c r="AQ620" s="9"/>
      <c r="AT620" s="9"/>
      <c r="AU620" s="9"/>
      <c r="AX620" s="9"/>
      <c r="AY620" s="9"/>
    </row>
    <row r="621" spans="17:51" ht="12.75">
      <c r="Q621" s="28"/>
      <c r="Y621" s="28"/>
      <c r="AE621" s="59"/>
      <c r="AH621" s="9"/>
      <c r="AI621" s="9"/>
      <c r="AL621" s="9"/>
      <c r="AM621" s="9"/>
      <c r="AP621" s="9"/>
      <c r="AQ621" s="9"/>
      <c r="AT621" s="9"/>
      <c r="AU621" s="9"/>
      <c r="AX621" s="9"/>
      <c r="AY621" s="9"/>
    </row>
    <row r="622" spans="17:51" ht="12.75">
      <c r="Q622" s="28"/>
      <c r="Y622" s="28"/>
      <c r="AE622" s="59"/>
      <c r="AH622" s="9"/>
      <c r="AI622" s="9"/>
      <c r="AL622" s="9"/>
      <c r="AM622" s="9"/>
      <c r="AP622" s="9"/>
      <c r="AQ622" s="9"/>
      <c r="AT622" s="9"/>
      <c r="AU622" s="9"/>
      <c r="AX622" s="9"/>
      <c r="AY622" s="9"/>
    </row>
    <row r="623" spans="17:51" ht="12.75">
      <c r="Q623" s="28"/>
      <c r="Y623" s="28"/>
      <c r="AE623" s="59"/>
      <c r="AH623" s="9"/>
      <c r="AI623" s="9"/>
      <c r="AL623" s="9"/>
      <c r="AM623" s="9"/>
      <c r="AP623" s="9"/>
      <c r="AQ623" s="9"/>
      <c r="AT623" s="9"/>
      <c r="AU623" s="9"/>
      <c r="AX623" s="9"/>
      <c r="AY623" s="9"/>
    </row>
    <row r="624" spans="17:51" ht="12.75">
      <c r="Q624" s="28"/>
      <c r="Y624" s="28"/>
      <c r="AE624" s="59"/>
      <c r="AH624" s="9"/>
      <c r="AI624" s="9"/>
      <c r="AL624" s="9"/>
      <c r="AM624" s="9"/>
      <c r="AP624" s="9"/>
      <c r="AQ624" s="9"/>
      <c r="AT624" s="9"/>
      <c r="AU624" s="9"/>
      <c r="AX624" s="9"/>
      <c r="AY624" s="9"/>
    </row>
    <row r="625" spans="17:51" ht="12.75">
      <c r="Q625" s="28"/>
      <c r="Y625" s="28"/>
      <c r="AE625" s="59"/>
      <c r="AH625" s="9"/>
      <c r="AI625" s="9"/>
      <c r="AL625" s="9"/>
      <c r="AM625" s="9"/>
      <c r="AP625" s="9"/>
      <c r="AQ625" s="9"/>
      <c r="AT625" s="9"/>
      <c r="AU625" s="9"/>
      <c r="AX625" s="9"/>
      <c r="AY625" s="9"/>
    </row>
    <row r="626" spans="17:51" ht="12.75">
      <c r="Q626" s="28"/>
      <c r="Y626" s="28"/>
      <c r="AE626" s="59"/>
      <c r="AH626" s="9"/>
      <c r="AI626" s="9"/>
      <c r="AL626" s="9"/>
      <c r="AM626" s="9"/>
      <c r="AP626" s="9"/>
      <c r="AQ626" s="9"/>
      <c r="AT626" s="9"/>
      <c r="AU626" s="9"/>
      <c r="AX626" s="9"/>
      <c r="AY626" s="9"/>
    </row>
    <row r="627" spans="17:51" ht="12.75">
      <c r="Q627" s="28"/>
      <c r="Y627" s="28"/>
      <c r="AE627" s="59"/>
      <c r="AH627" s="9"/>
      <c r="AI627" s="9"/>
      <c r="AL627" s="9"/>
      <c r="AM627" s="9"/>
      <c r="AP627" s="9"/>
      <c r="AQ627" s="9"/>
      <c r="AT627" s="9"/>
      <c r="AU627" s="9"/>
      <c r="AX627" s="9"/>
      <c r="AY627" s="9"/>
    </row>
    <row r="628" spans="17:51" ht="12.75">
      <c r="Q628" s="28"/>
      <c r="Y628" s="28"/>
      <c r="AE628" s="59"/>
      <c r="AH628" s="9"/>
      <c r="AI628" s="9"/>
      <c r="AL628" s="9"/>
      <c r="AM628" s="9"/>
      <c r="AP628" s="9"/>
      <c r="AQ628" s="9"/>
      <c r="AT628" s="9"/>
      <c r="AU628" s="9"/>
      <c r="AX628" s="9"/>
      <c r="AY628" s="9"/>
    </row>
    <row r="629" spans="17:51" ht="12.75">
      <c r="Q629" s="28"/>
      <c r="Y629" s="28"/>
      <c r="AE629" s="59"/>
      <c r="AH629" s="9"/>
      <c r="AI629" s="9"/>
      <c r="AL629" s="9"/>
      <c r="AM629" s="9"/>
      <c r="AP629" s="9"/>
      <c r="AQ629" s="9"/>
      <c r="AT629" s="9"/>
      <c r="AU629" s="9"/>
      <c r="AX629" s="9"/>
      <c r="AY629" s="9"/>
    </row>
    <row r="630" spans="17:51" ht="12.75">
      <c r="Q630" s="28"/>
      <c r="Y630" s="28"/>
      <c r="AE630" s="59"/>
      <c r="AH630" s="9"/>
      <c r="AI630" s="9"/>
      <c r="AL630" s="9"/>
      <c r="AM630" s="9"/>
      <c r="AP630" s="9"/>
      <c r="AQ630" s="9"/>
      <c r="AT630" s="9"/>
      <c r="AU630" s="9"/>
      <c r="AX630" s="9"/>
      <c r="AY630" s="9"/>
    </row>
    <row r="631" spans="17:51" ht="12.75">
      <c r="Q631" s="28"/>
      <c r="Y631" s="28"/>
      <c r="AE631" s="59"/>
      <c r="AH631" s="9"/>
      <c r="AI631" s="9"/>
      <c r="AL631" s="9"/>
      <c r="AM631" s="9"/>
      <c r="AP631" s="9"/>
      <c r="AQ631" s="9"/>
      <c r="AT631" s="9"/>
      <c r="AU631" s="9"/>
      <c r="AX631" s="9"/>
      <c r="AY631" s="9"/>
    </row>
    <row r="632" spans="17:51" ht="12.75">
      <c r="Q632" s="28"/>
      <c r="Y632" s="28"/>
      <c r="AE632" s="59"/>
      <c r="AH632" s="9"/>
      <c r="AI632" s="9"/>
      <c r="AL632" s="9"/>
      <c r="AM632" s="9"/>
      <c r="AP632" s="9"/>
      <c r="AQ632" s="9"/>
      <c r="AT632" s="9"/>
      <c r="AU632" s="9"/>
      <c r="AX632" s="9"/>
      <c r="AY632" s="9"/>
    </row>
    <row r="633" spans="17:51" ht="12.75">
      <c r="Q633" s="28"/>
      <c r="Y633" s="28"/>
      <c r="AE633" s="59"/>
      <c r="AH633" s="9"/>
      <c r="AI633" s="9"/>
      <c r="AL633" s="9"/>
      <c r="AM633" s="9"/>
      <c r="AP633" s="9"/>
      <c r="AQ633" s="9"/>
      <c r="AT633" s="9"/>
      <c r="AU633" s="9"/>
      <c r="AX633" s="9"/>
      <c r="AY633" s="9"/>
    </row>
    <row r="634" spans="17:51" ht="12.75">
      <c r="Q634" s="28"/>
      <c r="Y634" s="28"/>
      <c r="AE634" s="59"/>
      <c r="AH634" s="9"/>
      <c r="AI634" s="9"/>
      <c r="AL634" s="9"/>
      <c r="AM634" s="9"/>
      <c r="AP634" s="9"/>
      <c r="AQ634" s="9"/>
      <c r="AT634" s="9"/>
      <c r="AU634" s="9"/>
      <c r="AX634" s="9"/>
      <c r="AY634" s="9"/>
    </row>
    <row r="635" spans="17:51" ht="12.75">
      <c r="Q635" s="28"/>
      <c r="Y635" s="28"/>
      <c r="AE635" s="59"/>
      <c r="AH635" s="9"/>
      <c r="AI635" s="9"/>
      <c r="AL635" s="9"/>
      <c r="AM635" s="9"/>
      <c r="AP635" s="9"/>
      <c r="AQ635" s="9"/>
      <c r="AT635" s="9"/>
      <c r="AU635" s="9"/>
      <c r="AX635" s="9"/>
      <c r="AY635" s="9"/>
    </row>
    <row r="636" spans="17:51" ht="12.75">
      <c r="Q636" s="28"/>
      <c r="Y636" s="28"/>
      <c r="AE636" s="59"/>
      <c r="AH636" s="9"/>
      <c r="AI636" s="9"/>
      <c r="AL636" s="9"/>
      <c r="AM636" s="9"/>
      <c r="AP636" s="9"/>
      <c r="AQ636" s="9"/>
      <c r="AT636" s="9"/>
      <c r="AU636" s="9"/>
      <c r="AX636" s="9"/>
      <c r="AY636" s="9"/>
    </row>
    <row r="637" spans="17:51" ht="12.75">
      <c r="Q637" s="28"/>
      <c r="Y637" s="28"/>
      <c r="AE637" s="59"/>
      <c r="AH637" s="9"/>
      <c r="AI637" s="9"/>
      <c r="AL637" s="9"/>
      <c r="AM637" s="9"/>
      <c r="AP637" s="9"/>
      <c r="AQ637" s="9"/>
      <c r="AT637" s="9"/>
      <c r="AU637" s="9"/>
      <c r="AX637" s="9"/>
      <c r="AY637" s="9"/>
    </row>
    <row r="638" spans="17:51" ht="12.75">
      <c r="Q638" s="28"/>
      <c r="Y638" s="28"/>
      <c r="AE638" s="59"/>
      <c r="AH638" s="9"/>
      <c r="AI638" s="9"/>
      <c r="AL638" s="9"/>
      <c r="AM638" s="9"/>
      <c r="AP638" s="9"/>
      <c r="AQ638" s="9"/>
      <c r="AT638" s="9"/>
      <c r="AU638" s="9"/>
      <c r="AX638" s="9"/>
      <c r="AY638" s="9"/>
    </row>
    <row r="639" spans="17:51" ht="12.75">
      <c r="Q639" s="28"/>
      <c r="Y639" s="28"/>
      <c r="AE639" s="59"/>
      <c r="AH639" s="9"/>
      <c r="AI639" s="9"/>
      <c r="AL639" s="9"/>
      <c r="AM639" s="9"/>
      <c r="AP639" s="9"/>
      <c r="AQ639" s="9"/>
      <c r="AT639" s="9"/>
      <c r="AU639" s="9"/>
      <c r="AX639" s="9"/>
      <c r="AY639" s="9"/>
    </row>
    <row r="640" spans="17:51" ht="12.75">
      <c r="Q640" s="28"/>
      <c r="Y640" s="28"/>
      <c r="AE640" s="59"/>
      <c r="AH640" s="9"/>
      <c r="AI640" s="9"/>
      <c r="AL640" s="9"/>
      <c r="AM640" s="9"/>
      <c r="AP640" s="9"/>
      <c r="AQ640" s="9"/>
      <c r="AT640" s="9"/>
      <c r="AU640" s="9"/>
      <c r="AX640" s="9"/>
      <c r="AY640" s="9"/>
    </row>
    <row r="641" spans="17:51" ht="12.75">
      <c r="Q641" s="28"/>
      <c r="Y641" s="28"/>
      <c r="AE641" s="59"/>
      <c r="AH641" s="9"/>
      <c r="AI641" s="9"/>
      <c r="AL641" s="9"/>
      <c r="AM641" s="9"/>
      <c r="AP641" s="9"/>
      <c r="AQ641" s="9"/>
      <c r="AT641" s="9"/>
      <c r="AU641" s="9"/>
      <c r="AX641" s="9"/>
      <c r="AY641" s="9"/>
    </row>
    <row r="642" spans="17:51" ht="12.75">
      <c r="Q642" s="28"/>
      <c r="Y642" s="28"/>
      <c r="AE642" s="59"/>
      <c r="AH642" s="9"/>
      <c r="AI642" s="9"/>
      <c r="AL642" s="9"/>
      <c r="AM642" s="9"/>
      <c r="AP642" s="9"/>
      <c r="AQ642" s="9"/>
      <c r="AT642" s="9"/>
      <c r="AU642" s="9"/>
      <c r="AX642" s="9"/>
      <c r="AY642" s="9"/>
    </row>
    <row r="643" spans="17:51" ht="12.75">
      <c r="Q643" s="28"/>
      <c r="Y643" s="28"/>
      <c r="AE643" s="59"/>
      <c r="AH643" s="9"/>
      <c r="AI643" s="9"/>
      <c r="AL643" s="9"/>
      <c r="AM643" s="9"/>
      <c r="AP643" s="9"/>
      <c r="AQ643" s="9"/>
      <c r="AT643" s="9"/>
      <c r="AU643" s="9"/>
      <c r="AX643" s="9"/>
      <c r="AY643" s="9"/>
    </row>
    <row r="644" spans="17:51" ht="12.75">
      <c r="Q644" s="28"/>
      <c r="Y644" s="28"/>
      <c r="AE644" s="59"/>
      <c r="AH644" s="9"/>
      <c r="AI644" s="9"/>
      <c r="AL644" s="9"/>
      <c r="AM644" s="9"/>
      <c r="AP644" s="9"/>
      <c r="AQ644" s="9"/>
      <c r="AT644" s="9"/>
      <c r="AU644" s="9"/>
      <c r="AX644" s="9"/>
      <c r="AY644" s="9"/>
    </row>
    <row r="645" spans="17:51" ht="12.75">
      <c r="Q645" s="28"/>
      <c r="Y645" s="28"/>
      <c r="AE645" s="59"/>
      <c r="AH645" s="9"/>
      <c r="AI645" s="9"/>
      <c r="AL645" s="9"/>
      <c r="AM645" s="9"/>
      <c r="AP645" s="9"/>
      <c r="AQ645" s="9"/>
      <c r="AT645" s="9"/>
      <c r="AU645" s="9"/>
      <c r="AX645" s="9"/>
      <c r="AY645" s="9"/>
    </row>
    <row r="646" spans="17:51" ht="12.75">
      <c r="Q646" s="28"/>
      <c r="Y646" s="28"/>
      <c r="AE646" s="59"/>
      <c r="AH646" s="9"/>
      <c r="AI646" s="9"/>
      <c r="AL646" s="9"/>
      <c r="AM646" s="9"/>
      <c r="AP646" s="9"/>
      <c r="AQ646" s="9"/>
      <c r="AT646" s="9"/>
      <c r="AU646" s="9"/>
      <c r="AX646" s="9"/>
      <c r="AY646" s="9"/>
    </row>
    <row r="647" spans="17:51" ht="12.75">
      <c r="Q647" s="28"/>
      <c r="Y647" s="28"/>
      <c r="AE647" s="59"/>
      <c r="AH647" s="9"/>
      <c r="AI647" s="9"/>
      <c r="AL647" s="9"/>
      <c r="AM647" s="9"/>
      <c r="AP647" s="9"/>
      <c r="AQ647" s="9"/>
      <c r="AT647" s="9"/>
      <c r="AU647" s="9"/>
      <c r="AX647" s="9"/>
      <c r="AY647" s="9"/>
    </row>
    <row r="648" spans="17:51" ht="12.75">
      <c r="Q648" s="28"/>
      <c r="Y648" s="28"/>
      <c r="AE648" s="59"/>
      <c r="AH648" s="9"/>
      <c r="AI648" s="9"/>
      <c r="AL648" s="9"/>
      <c r="AM648" s="9"/>
      <c r="AP648" s="9"/>
      <c r="AQ648" s="9"/>
      <c r="AT648" s="9"/>
      <c r="AU648" s="9"/>
      <c r="AX648" s="9"/>
      <c r="AY648" s="9"/>
    </row>
    <row r="649" spans="17:51" ht="12.75">
      <c r="Q649" s="28"/>
      <c r="Y649" s="28"/>
      <c r="AE649" s="59"/>
      <c r="AH649" s="9"/>
      <c r="AI649" s="9"/>
      <c r="AL649" s="9"/>
      <c r="AM649" s="9"/>
      <c r="AP649" s="9"/>
      <c r="AQ649" s="9"/>
      <c r="AT649" s="9"/>
      <c r="AU649" s="9"/>
      <c r="AX649" s="9"/>
      <c r="AY649" s="9"/>
    </row>
    <row r="650" spans="17:51" ht="12.75">
      <c r="Q650" s="28"/>
      <c r="Y650" s="28"/>
      <c r="AE650" s="59"/>
      <c r="AH650" s="9"/>
      <c r="AI650" s="9"/>
      <c r="AL650" s="9"/>
      <c r="AM650" s="9"/>
      <c r="AP650" s="9"/>
      <c r="AQ650" s="9"/>
      <c r="AT650" s="9"/>
      <c r="AU650" s="9"/>
      <c r="AX650" s="9"/>
      <c r="AY650" s="9"/>
    </row>
    <row r="651" spans="17:51" ht="12.75">
      <c r="Q651" s="28"/>
      <c r="Y651" s="28"/>
      <c r="AE651" s="59"/>
      <c r="AH651" s="9"/>
      <c r="AI651" s="9"/>
      <c r="AL651" s="9"/>
      <c r="AM651" s="9"/>
      <c r="AP651" s="9"/>
      <c r="AQ651" s="9"/>
      <c r="AT651" s="9"/>
      <c r="AU651" s="9"/>
      <c r="AX651" s="9"/>
      <c r="AY651" s="9"/>
    </row>
    <row r="652" spans="17:51" ht="12.75">
      <c r="Q652" s="28"/>
      <c r="Y652" s="28"/>
      <c r="AE652" s="59"/>
      <c r="AH652" s="9"/>
      <c r="AI652" s="9"/>
      <c r="AL652" s="9"/>
      <c r="AM652" s="9"/>
      <c r="AP652" s="9"/>
      <c r="AQ652" s="9"/>
      <c r="AT652" s="9"/>
      <c r="AU652" s="9"/>
      <c r="AX652" s="9"/>
      <c r="AY652" s="9"/>
    </row>
    <row r="653" spans="17:51" ht="12.75">
      <c r="Q653" s="28"/>
      <c r="Y653" s="28"/>
      <c r="AE653" s="59"/>
      <c r="AH653" s="9"/>
      <c r="AI653" s="9"/>
      <c r="AL653" s="9"/>
      <c r="AM653" s="9"/>
      <c r="AP653" s="9"/>
      <c r="AQ653" s="9"/>
      <c r="AT653" s="9"/>
      <c r="AU653" s="9"/>
      <c r="AX653" s="9"/>
      <c r="AY653" s="9"/>
    </row>
    <row r="654" spans="17:51" ht="12.75">
      <c r="Q654" s="28"/>
      <c r="Y654" s="28"/>
      <c r="AE654" s="59"/>
      <c r="AH654" s="9"/>
      <c r="AI654" s="9"/>
      <c r="AL654" s="9"/>
      <c r="AM654" s="9"/>
      <c r="AP654" s="9"/>
      <c r="AQ654" s="9"/>
      <c r="AT654" s="9"/>
      <c r="AU654" s="9"/>
      <c r="AX654" s="9"/>
      <c r="AY654" s="9"/>
    </row>
    <row r="655" spans="17:51" ht="12.75">
      <c r="Q655" s="28"/>
      <c r="Y655" s="28"/>
      <c r="AE655" s="59"/>
      <c r="AH655" s="9"/>
      <c r="AI655" s="9"/>
      <c r="AL655" s="9"/>
      <c r="AM655" s="9"/>
      <c r="AP655" s="9"/>
      <c r="AQ655" s="9"/>
      <c r="AT655" s="9"/>
      <c r="AU655" s="9"/>
      <c r="AX655" s="9"/>
      <c r="AY655" s="9"/>
    </row>
    <row r="656" spans="17:51" ht="12.75">
      <c r="Q656" s="28"/>
      <c r="Y656" s="28"/>
      <c r="AE656" s="59"/>
      <c r="AH656" s="9"/>
      <c r="AI656" s="9"/>
      <c r="AL656" s="9"/>
      <c r="AM656" s="9"/>
      <c r="AP656" s="9"/>
      <c r="AQ656" s="9"/>
      <c r="AT656" s="9"/>
      <c r="AU656" s="9"/>
      <c r="AX656" s="9"/>
      <c r="AY656" s="9"/>
    </row>
    <row r="657" spans="17:51" ht="12.75">
      <c r="Q657" s="28"/>
      <c r="Y657" s="28"/>
      <c r="AE657" s="59"/>
      <c r="AH657" s="9"/>
      <c r="AI657" s="9"/>
      <c r="AL657" s="9"/>
      <c r="AM657" s="9"/>
      <c r="AP657" s="9"/>
      <c r="AQ657" s="9"/>
      <c r="AT657" s="9"/>
      <c r="AU657" s="9"/>
      <c r="AX657" s="9"/>
      <c r="AY657" s="9"/>
    </row>
    <row r="658" spans="17:51" ht="12.75">
      <c r="Q658" s="28"/>
      <c r="Y658" s="28"/>
      <c r="AE658" s="59"/>
      <c r="AH658" s="9"/>
      <c r="AI658" s="9"/>
      <c r="AL658" s="9"/>
      <c r="AM658" s="9"/>
      <c r="AP658" s="9"/>
      <c r="AQ658" s="9"/>
      <c r="AT658" s="9"/>
      <c r="AU658" s="9"/>
      <c r="AX658" s="9"/>
      <c r="AY658" s="9"/>
    </row>
    <row r="659" spans="17:51" ht="12.75">
      <c r="Q659" s="28"/>
      <c r="Y659" s="28"/>
      <c r="AE659" s="59"/>
      <c r="AH659" s="9"/>
      <c r="AI659" s="9"/>
      <c r="AL659" s="9"/>
      <c r="AM659" s="9"/>
      <c r="AP659" s="9"/>
      <c r="AQ659" s="9"/>
      <c r="AT659" s="9"/>
      <c r="AU659" s="9"/>
      <c r="AX659" s="9"/>
      <c r="AY659" s="9"/>
    </row>
    <row r="660" spans="17:51" ht="12.75">
      <c r="Q660" s="28"/>
      <c r="Y660" s="28"/>
      <c r="AE660" s="59"/>
      <c r="AH660" s="9"/>
      <c r="AI660" s="9"/>
      <c r="AL660" s="9"/>
      <c r="AM660" s="9"/>
      <c r="AP660" s="9"/>
      <c r="AQ660" s="9"/>
      <c r="AT660" s="9"/>
      <c r="AU660" s="9"/>
      <c r="AX660" s="9"/>
      <c r="AY660" s="9"/>
    </row>
    <row r="661" spans="17:51" ht="12.75">
      <c r="Q661" s="28"/>
      <c r="Y661" s="28"/>
      <c r="AE661" s="59"/>
      <c r="AH661" s="9"/>
      <c r="AI661" s="9"/>
      <c r="AL661" s="9"/>
      <c r="AM661" s="9"/>
      <c r="AP661" s="9"/>
      <c r="AQ661" s="9"/>
      <c r="AT661" s="9"/>
      <c r="AU661" s="9"/>
      <c r="AX661" s="9"/>
      <c r="AY661" s="9"/>
    </row>
    <row r="662" spans="17:51" ht="12.75">
      <c r="Q662" s="28"/>
      <c r="Y662" s="28"/>
      <c r="AE662" s="59"/>
      <c r="AH662" s="9"/>
      <c r="AI662" s="9"/>
      <c r="AL662" s="9"/>
      <c r="AM662" s="9"/>
      <c r="AP662" s="9"/>
      <c r="AQ662" s="9"/>
      <c r="AT662" s="9"/>
      <c r="AU662" s="9"/>
      <c r="AX662" s="9"/>
      <c r="AY662" s="9"/>
    </row>
    <row r="663" spans="17:51" ht="12.75">
      <c r="Q663" s="28"/>
      <c r="Y663" s="28"/>
      <c r="AE663" s="59"/>
      <c r="AH663" s="9"/>
      <c r="AI663" s="9"/>
      <c r="AL663" s="9"/>
      <c r="AM663" s="9"/>
      <c r="AP663" s="9"/>
      <c r="AQ663" s="9"/>
      <c r="AT663" s="9"/>
      <c r="AU663" s="9"/>
      <c r="AX663" s="9"/>
      <c r="AY663" s="9"/>
    </row>
    <row r="664" spans="17:51" ht="12.75">
      <c r="Q664" s="28"/>
      <c r="Y664" s="28"/>
      <c r="AE664" s="59"/>
      <c r="AH664" s="9"/>
      <c r="AI664" s="9"/>
      <c r="AL664" s="9"/>
      <c r="AM664" s="9"/>
      <c r="AP664" s="9"/>
      <c r="AQ664" s="9"/>
      <c r="AT664" s="9"/>
      <c r="AU664" s="9"/>
      <c r="AX664" s="9"/>
      <c r="AY664" s="9"/>
    </row>
    <row r="665" spans="17:51" ht="12.75">
      <c r="Q665" s="28"/>
      <c r="Y665" s="28"/>
      <c r="AE665" s="59"/>
      <c r="AH665" s="9"/>
      <c r="AI665" s="9"/>
      <c r="AL665" s="9"/>
      <c r="AM665" s="9"/>
      <c r="AP665" s="9"/>
      <c r="AQ665" s="9"/>
      <c r="AT665" s="9"/>
      <c r="AU665" s="9"/>
      <c r="AX665" s="9"/>
      <c r="AY665" s="9"/>
    </row>
    <row r="666" spans="17:51" ht="12.75">
      <c r="Q666" s="28"/>
      <c r="Y666" s="28"/>
      <c r="AE666" s="59"/>
      <c r="AH666" s="9"/>
      <c r="AI666" s="9"/>
      <c r="AL666" s="9"/>
      <c r="AM666" s="9"/>
      <c r="AP666" s="9"/>
      <c r="AQ666" s="9"/>
      <c r="AT666" s="9"/>
      <c r="AU666" s="9"/>
      <c r="AX666" s="9"/>
      <c r="AY666" s="9"/>
    </row>
    <row r="667" spans="17:51" ht="12.75">
      <c r="Q667" s="28"/>
      <c r="Y667" s="28"/>
      <c r="AE667" s="59"/>
      <c r="AH667" s="9"/>
      <c r="AI667" s="9"/>
      <c r="AL667" s="9"/>
      <c r="AM667" s="9"/>
      <c r="AP667" s="9"/>
      <c r="AQ667" s="9"/>
      <c r="AT667" s="9"/>
      <c r="AU667" s="9"/>
      <c r="AX667" s="9"/>
      <c r="AY667" s="9"/>
    </row>
    <row r="668" spans="17:51" ht="12.75">
      <c r="Q668" s="28"/>
      <c r="Y668" s="28"/>
      <c r="AE668" s="59"/>
      <c r="AH668" s="9"/>
      <c r="AI668" s="9"/>
      <c r="AL668" s="9"/>
      <c r="AM668" s="9"/>
      <c r="AP668" s="9"/>
      <c r="AQ668" s="9"/>
      <c r="AT668" s="9"/>
      <c r="AU668" s="9"/>
      <c r="AX668" s="9"/>
      <c r="AY668" s="9"/>
    </row>
    <row r="669" spans="17:51" ht="12.75">
      <c r="Q669" s="28"/>
      <c r="Y669" s="28"/>
      <c r="AE669" s="59"/>
      <c r="AH669" s="9"/>
      <c r="AI669" s="9"/>
      <c r="AL669" s="9"/>
      <c r="AM669" s="9"/>
      <c r="AP669" s="9"/>
      <c r="AQ669" s="9"/>
      <c r="AT669" s="9"/>
      <c r="AU669" s="9"/>
      <c r="AX669" s="9"/>
      <c r="AY669" s="9"/>
    </row>
    <row r="670" spans="17:51" ht="12.75">
      <c r="Q670" s="28"/>
      <c r="Y670" s="28"/>
      <c r="AE670" s="59"/>
      <c r="AH670" s="9"/>
      <c r="AI670" s="9"/>
      <c r="AL670" s="9"/>
      <c r="AM670" s="9"/>
      <c r="AP670" s="9"/>
      <c r="AQ670" s="9"/>
      <c r="AT670" s="9"/>
      <c r="AU670" s="9"/>
      <c r="AX670" s="9"/>
      <c r="AY670" s="9"/>
    </row>
    <row r="671" spans="17:51" ht="12.75">
      <c r="Q671" s="28"/>
      <c r="Y671" s="28"/>
      <c r="AE671" s="59"/>
      <c r="AH671" s="9"/>
      <c r="AI671" s="9"/>
      <c r="AL671" s="9"/>
      <c r="AM671" s="9"/>
      <c r="AP671" s="9"/>
      <c r="AQ671" s="9"/>
      <c r="AT671" s="9"/>
      <c r="AU671" s="9"/>
      <c r="AX671" s="9"/>
      <c r="AY671" s="9"/>
    </row>
    <row r="672" spans="17:51" ht="12.75">
      <c r="Q672" s="28"/>
      <c r="Y672" s="28"/>
      <c r="AE672" s="59"/>
      <c r="AH672" s="9"/>
      <c r="AI672" s="9"/>
      <c r="AL672" s="9"/>
      <c r="AM672" s="9"/>
      <c r="AP672" s="9"/>
      <c r="AQ672" s="9"/>
      <c r="AT672" s="9"/>
      <c r="AU672" s="9"/>
      <c r="AX672" s="9"/>
      <c r="AY672" s="9"/>
    </row>
    <row r="673" spans="17:51" ht="12.75">
      <c r="Q673" s="28"/>
      <c r="Y673" s="28"/>
      <c r="AE673" s="59"/>
      <c r="AH673" s="9"/>
      <c r="AI673" s="9"/>
      <c r="AL673" s="9"/>
      <c r="AM673" s="9"/>
      <c r="AP673" s="9"/>
      <c r="AQ673" s="9"/>
      <c r="AT673" s="9"/>
      <c r="AU673" s="9"/>
      <c r="AX673" s="9"/>
      <c r="AY673" s="9"/>
    </row>
    <row r="674" spans="17:51" ht="12.75">
      <c r="Q674" s="28"/>
      <c r="Y674" s="28"/>
      <c r="AE674" s="59"/>
      <c r="AH674" s="9"/>
      <c r="AI674" s="9"/>
      <c r="AL674" s="9"/>
      <c r="AM674" s="9"/>
      <c r="AP674" s="9"/>
      <c r="AQ674" s="9"/>
      <c r="AT674" s="9"/>
      <c r="AU674" s="9"/>
      <c r="AX674" s="9"/>
      <c r="AY674" s="9"/>
    </row>
    <row r="675" spans="17:51" ht="12.75">
      <c r="Q675" s="28"/>
      <c r="Y675" s="28"/>
      <c r="AE675" s="59"/>
      <c r="AH675" s="9"/>
      <c r="AI675" s="9"/>
      <c r="AL675" s="9"/>
      <c r="AM675" s="9"/>
      <c r="AP675" s="9"/>
      <c r="AQ675" s="9"/>
      <c r="AT675" s="9"/>
      <c r="AU675" s="9"/>
      <c r="AX675" s="9"/>
      <c r="AY675" s="9"/>
    </row>
    <row r="676" spans="17:51" ht="12.75">
      <c r="Q676" s="28"/>
      <c r="Y676" s="28"/>
      <c r="AE676" s="59"/>
      <c r="AH676" s="9"/>
      <c r="AI676" s="9"/>
      <c r="AL676" s="9"/>
      <c r="AM676" s="9"/>
      <c r="AP676" s="9"/>
      <c r="AQ676" s="9"/>
      <c r="AT676" s="9"/>
      <c r="AU676" s="9"/>
      <c r="AX676" s="9"/>
      <c r="AY676" s="9"/>
    </row>
    <row r="677" spans="17:51" ht="12.75">
      <c r="Q677" s="28"/>
      <c r="Y677" s="28"/>
      <c r="AE677" s="59"/>
      <c r="AH677" s="9"/>
      <c r="AI677" s="9"/>
      <c r="AL677" s="9"/>
      <c r="AM677" s="9"/>
      <c r="AP677" s="9"/>
      <c r="AQ677" s="9"/>
      <c r="AT677" s="9"/>
      <c r="AU677" s="9"/>
      <c r="AX677" s="9"/>
      <c r="AY677" s="9"/>
    </row>
    <row r="678" spans="17:51" ht="12.75">
      <c r="Q678" s="28"/>
      <c r="Y678" s="28"/>
      <c r="AE678" s="59"/>
      <c r="AH678" s="9"/>
      <c r="AI678" s="9"/>
      <c r="AL678" s="9"/>
      <c r="AM678" s="9"/>
      <c r="AP678" s="9"/>
      <c r="AQ678" s="9"/>
      <c r="AT678" s="9"/>
      <c r="AU678" s="9"/>
      <c r="AX678" s="9"/>
      <c r="AY678" s="9"/>
    </row>
    <row r="679" spans="17:51" ht="12.75">
      <c r="Q679" s="28"/>
      <c r="Y679" s="28"/>
      <c r="AE679" s="59"/>
      <c r="AH679" s="9"/>
      <c r="AI679" s="9"/>
      <c r="AL679" s="9"/>
      <c r="AM679" s="9"/>
      <c r="AP679" s="9"/>
      <c r="AQ679" s="9"/>
      <c r="AT679" s="9"/>
      <c r="AU679" s="9"/>
      <c r="AX679" s="9"/>
      <c r="AY679" s="9"/>
    </row>
    <row r="680" spans="17:51" ht="12.75">
      <c r="Q680" s="28"/>
      <c r="Y680" s="28"/>
      <c r="AE680" s="59"/>
      <c r="AH680" s="9"/>
      <c r="AI680" s="9"/>
      <c r="AL680" s="9"/>
      <c r="AM680" s="9"/>
      <c r="AP680" s="9"/>
      <c r="AQ680" s="9"/>
      <c r="AT680" s="9"/>
      <c r="AU680" s="9"/>
      <c r="AX680" s="9"/>
      <c r="AY680" s="9"/>
    </row>
    <row r="681" spans="17:51" ht="12.75">
      <c r="Q681" s="28"/>
      <c r="Y681" s="28"/>
      <c r="AE681" s="59"/>
      <c r="AH681" s="9"/>
      <c r="AI681" s="9"/>
      <c r="AL681" s="9"/>
      <c r="AM681" s="9"/>
      <c r="AP681" s="9"/>
      <c r="AQ681" s="9"/>
      <c r="AT681" s="9"/>
      <c r="AU681" s="9"/>
      <c r="AX681" s="9"/>
      <c r="AY681" s="9"/>
    </row>
    <row r="682" spans="17:51" ht="12.75">
      <c r="Q682" s="28"/>
      <c r="Y682" s="28"/>
      <c r="AE682" s="59"/>
      <c r="AH682" s="9"/>
      <c r="AI682" s="9"/>
      <c r="AL682" s="9"/>
      <c r="AM682" s="9"/>
      <c r="AP682" s="9"/>
      <c r="AQ682" s="9"/>
      <c r="AT682" s="9"/>
      <c r="AU682" s="9"/>
      <c r="AX682" s="9"/>
      <c r="AY682" s="9"/>
    </row>
    <row r="683" spans="17:51" ht="12.75">
      <c r="Q683" s="28"/>
      <c r="Y683" s="28"/>
      <c r="AE683" s="59"/>
      <c r="AH683" s="9"/>
      <c r="AI683" s="9"/>
      <c r="AL683" s="9"/>
      <c r="AM683" s="9"/>
      <c r="AP683" s="9"/>
      <c r="AQ683" s="9"/>
      <c r="AT683" s="9"/>
      <c r="AU683" s="9"/>
      <c r="AX683" s="9"/>
      <c r="AY683" s="9"/>
    </row>
    <row r="684" spans="17:51" ht="12.75">
      <c r="Q684" s="28"/>
      <c r="Y684" s="28"/>
      <c r="AE684" s="59"/>
      <c r="AH684" s="9"/>
      <c r="AI684" s="9"/>
      <c r="AL684" s="9"/>
      <c r="AM684" s="9"/>
      <c r="AP684" s="9"/>
      <c r="AQ684" s="9"/>
      <c r="AT684" s="9"/>
      <c r="AU684" s="9"/>
      <c r="AX684" s="9"/>
      <c r="AY684" s="9"/>
    </row>
    <row r="685" spans="17:51" ht="12.75">
      <c r="Q685" s="28"/>
      <c r="Y685" s="28"/>
      <c r="AE685" s="59"/>
      <c r="AH685" s="9"/>
      <c r="AI685" s="9"/>
      <c r="AL685" s="9"/>
      <c r="AM685" s="9"/>
      <c r="AP685" s="9"/>
      <c r="AQ685" s="9"/>
      <c r="AT685" s="9"/>
      <c r="AU685" s="9"/>
      <c r="AX685" s="9"/>
      <c r="AY685" s="9"/>
    </row>
    <row r="686" spans="17:51" ht="12.75">
      <c r="Q686" s="28"/>
      <c r="Y686" s="28"/>
      <c r="AE686" s="59"/>
      <c r="AH686" s="9"/>
      <c r="AI686" s="9"/>
      <c r="AL686" s="9"/>
      <c r="AM686" s="9"/>
      <c r="AP686" s="9"/>
      <c r="AQ686" s="9"/>
      <c r="AT686" s="9"/>
      <c r="AU686" s="9"/>
      <c r="AX686" s="9"/>
      <c r="AY686" s="9"/>
    </row>
    <row r="687" spans="17:51" ht="12.75">
      <c r="Q687" s="28"/>
      <c r="Y687" s="28"/>
      <c r="AE687" s="59"/>
      <c r="AH687" s="9"/>
      <c r="AI687" s="9"/>
      <c r="AL687" s="9"/>
      <c r="AM687" s="9"/>
      <c r="AP687" s="9"/>
      <c r="AQ687" s="9"/>
      <c r="AT687" s="9"/>
      <c r="AU687" s="9"/>
      <c r="AX687" s="9"/>
      <c r="AY687" s="9"/>
    </row>
    <row r="688" spans="17:51" ht="12.75">
      <c r="Q688" s="28"/>
      <c r="Y688" s="28"/>
      <c r="AE688" s="59"/>
      <c r="AH688" s="9"/>
      <c r="AI688" s="9"/>
      <c r="AL688" s="9"/>
      <c r="AM688" s="9"/>
      <c r="AP688" s="9"/>
      <c r="AQ688" s="9"/>
      <c r="AT688" s="9"/>
      <c r="AU688" s="9"/>
      <c r="AX688" s="9"/>
      <c r="AY688" s="9"/>
    </row>
    <row r="689" spans="17:51" ht="12.75">
      <c r="Q689" s="28"/>
      <c r="Y689" s="28"/>
      <c r="AE689" s="59"/>
      <c r="AH689" s="9"/>
      <c r="AI689" s="9"/>
      <c r="AL689" s="9"/>
      <c r="AM689" s="9"/>
      <c r="AP689" s="9"/>
      <c r="AQ689" s="9"/>
      <c r="AT689" s="9"/>
      <c r="AU689" s="9"/>
      <c r="AX689" s="9"/>
      <c r="AY689" s="9"/>
    </row>
    <row r="690" spans="17:51" ht="12.75">
      <c r="Q690" s="28"/>
      <c r="Y690" s="28"/>
      <c r="AE690" s="59"/>
      <c r="AH690" s="9"/>
      <c r="AI690" s="9"/>
      <c r="AL690" s="9"/>
      <c r="AM690" s="9"/>
      <c r="AP690" s="9"/>
      <c r="AQ690" s="9"/>
      <c r="AT690" s="9"/>
      <c r="AU690" s="9"/>
      <c r="AX690" s="9"/>
      <c r="AY690" s="9"/>
    </row>
    <row r="691" spans="17:51" ht="12.75">
      <c r="Q691" s="28"/>
      <c r="Y691" s="28"/>
      <c r="AE691" s="59"/>
      <c r="AH691" s="9"/>
      <c r="AI691" s="9"/>
      <c r="AL691" s="9"/>
      <c r="AM691" s="9"/>
      <c r="AP691" s="9"/>
      <c r="AQ691" s="9"/>
      <c r="AT691" s="9"/>
      <c r="AU691" s="9"/>
      <c r="AX691" s="9"/>
      <c r="AY691" s="9"/>
    </row>
    <row r="692" spans="17:51" ht="12.75">
      <c r="Q692" s="28"/>
      <c r="Y692" s="28"/>
      <c r="AE692" s="59"/>
      <c r="AH692" s="9"/>
      <c r="AI692" s="9"/>
      <c r="AL692" s="9"/>
      <c r="AM692" s="9"/>
      <c r="AP692" s="9"/>
      <c r="AQ692" s="9"/>
      <c r="AT692" s="9"/>
      <c r="AU692" s="9"/>
      <c r="AX692" s="9"/>
      <c r="AY692" s="9"/>
    </row>
    <row r="693" spans="17:51" ht="12.75">
      <c r="Q693" s="28"/>
      <c r="Y693" s="28"/>
      <c r="AE693" s="59"/>
      <c r="AH693" s="9"/>
      <c r="AI693" s="9"/>
      <c r="AL693" s="9"/>
      <c r="AM693" s="9"/>
      <c r="AP693" s="9"/>
      <c r="AQ693" s="9"/>
      <c r="AT693" s="9"/>
      <c r="AU693" s="9"/>
      <c r="AX693" s="9"/>
      <c r="AY693" s="9"/>
    </row>
    <row r="694" spans="17:51" ht="12.75">
      <c r="Q694" s="28"/>
      <c r="Y694" s="28"/>
      <c r="AE694" s="59"/>
      <c r="AH694" s="9"/>
      <c r="AI694" s="9"/>
      <c r="AL694" s="9"/>
      <c r="AM694" s="9"/>
      <c r="AP694" s="9"/>
      <c r="AQ694" s="9"/>
      <c r="AT694" s="9"/>
      <c r="AU694" s="9"/>
      <c r="AX694" s="9"/>
      <c r="AY694" s="9"/>
    </row>
    <row r="695" spans="17:51" ht="12.75">
      <c r="Q695" s="28"/>
      <c r="Y695" s="28"/>
      <c r="AE695" s="59"/>
      <c r="AH695" s="9"/>
      <c r="AI695" s="9"/>
      <c r="AL695" s="9"/>
      <c r="AM695" s="9"/>
      <c r="AP695" s="9"/>
      <c r="AQ695" s="9"/>
      <c r="AT695" s="9"/>
      <c r="AU695" s="9"/>
      <c r="AX695" s="9"/>
      <c r="AY695" s="9"/>
    </row>
    <row r="696" spans="17:51" ht="12.75">
      <c r="Q696" s="28"/>
      <c r="Y696" s="28"/>
      <c r="AE696" s="59"/>
      <c r="AH696" s="9"/>
      <c r="AI696" s="9"/>
      <c r="AL696" s="9"/>
      <c r="AM696" s="9"/>
      <c r="AP696" s="9"/>
      <c r="AQ696" s="9"/>
      <c r="AT696" s="9"/>
      <c r="AU696" s="9"/>
      <c r="AX696" s="9"/>
      <c r="AY696" s="9"/>
    </row>
    <row r="697" spans="17:51" ht="12.75">
      <c r="Q697" s="28"/>
      <c r="Y697" s="28"/>
      <c r="AE697" s="59"/>
      <c r="AH697" s="9"/>
      <c r="AI697" s="9"/>
      <c r="AL697" s="9"/>
      <c r="AM697" s="9"/>
      <c r="AP697" s="9"/>
      <c r="AQ697" s="9"/>
      <c r="AT697" s="9"/>
      <c r="AU697" s="9"/>
      <c r="AX697" s="9"/>
      <c r="AY697" s="9"/>
    </row>
    <row r="698" spans="17:51" ht="12.75">
      <c r="Q698" s="28"/>
      <c r="Y698" s="28"/>
      <c r="AE698" s="59"/>
      <c r="AH698" s="9"/>
      <c r="AI698" s="9"/>
      <c r="AL698" s="9"/>
      <c r="AM698" s="9"/>
      <c r="AP698" s="9"/>
      <c r="AQ698" s="9"/>
      <c r="AT698" s="9"/>
      <c r="AU698" s="9"/>
      <c r="AX698" s="9"/>
      <c r="AY698" s="9"/>
    </row>
    <row r="699" spans="17:51" ht="12.75">
      <c r="Q699" s="28"/>
      <c r="Y699" s="28"/>
      <c r="AE699" s="59"/>
      <c r="AH699" s="9"/>
      <c r="AI699" s="9"/>
      <c r="AL699" s="9"/>
      <c r="AM699" s="9"/>
      <c r="AP699" s="9"/>
      <c r="AQ699" s="9"/>
      <c r="AT699" s="9"/>
      <c r="AU699" s="9"/>
      <c r="AX699" s="9"/>
      <c r="AY699" s="9"/>
    </row>
    <row r="700" spans="17:51" ht="12.75">
      <c r="Q700" s="28"/>
      <c r="Y700" s="28"/>
      <c r="AE700" s="59"/>
      <c r="AH700" s="9"/>
      <c r="AI700" s="9"/>
      <c r="AL700" s="9"/>
      <c r="AM700" s="9"/>
      <c r="AP700" s="9"/>
      <c r="AQ700" s="9"/>
      <c r="AT700" s="9"/>
      <c r="AU700" s="9"/>
      <c r="AX700" s="9"/>
      <c r="AY700" s="9"/>
    </row>
    <row r="701" spans="17:51" ht="12.75">
      <c r="Q701" s="28"/>
      <c r="Y701" s="28"/>
      <c r="AE701" s="59"/>
      <c r="AH701" s="9"/>
      <c r="AI701" s="9"/>
      <c r="AL701" s="9"/>
      <c r="AM701" s="9"/>
      <c r="AP701" s="9"/>
      <c r="AQ701" s="9"/>
      <c r="AT701" s="9"/>
      <c r="AU701" s="9"/>
      <c r="AX701" s="9"/>
      <c r="AY701" s="9"/>
    </row>
    <row r="702" spans="17:51" ht="12.75">
      <c r="Q702" s="28"/>
      <c r="Y702" s="28"/>
      <c r="AE702" s="59"/>
      <c r="AH702" s="9"/>
      <c r="AI702" s="9"/>
      <c r="AL702" s="9"/>
      <c r="AM702" s="9"/>
      <c r="AP702" s="9"/>
      <c r="AQ702" s="9"/>
      <c r="AT702" s="9"/>
      <c r="AU702" s="9"/>
      <c r="AX702" s="9"/>
      <c r="AY702" s="9"/>
    </row>
    <row r="703" spans="17:51" ht="12.75">
      <c r="Q703" s="28"/>
      <c r="Y703" s="28"/>
      <c r="AE703" s="59"/>
      <c r="AH703" s="9"/>
      <c r="AI703" s="9"/>
      <c r="AL703" s="9"/>
      <c r="AM703" s="9"/>
      <c r="AP703" s="9"/>
      <c r="AQ703" s="9"/>
      <c r="AT703" s="9"/>
      <c r="AU703" s="9"/>
      <c r="AX703" s="9"/>
      <c r="AY703" s="9"/>
    </row>
    <row r="704" spans="17:51" ht="12.75">
      <c r="Q704" s="28"/>
      <c r="Y704" s="28"/>
      <c r="AE704" s="59"/>
      <c r="AH704" s="9"/>
      <c r="AI704" s="9"/>
      <c r="AL704" s="9"/>
      <c r="AM704" s="9"/>
      <c r="AP704" s="9"/>
      <c r="AQ704" s="9"/>
      <c r="AT704" s="9"/>
      <c r="AU704" s="9"/>
      <c r="AX704" s="9"/>
      <c r="AY704" s="9"/>
    </row>
    <row r="705" spans="17:51" ht="12.75">
      <c r="Q705" s="28"/>
      <c r="Y705" s="28"/>
      <c r="AE705" s="59"/>
      <c r="AH705" s="9"/>
      <c r="AI705" s="9"/>
      <c r="AL705" s="9"/>
      <c r="AM705" s="9"/>
      <c r="AP705" s="9"/>
      <c r="AQ705" s="9"/>
      <c r="AT705" s="9"/>
      <c r="AU705" s="9"/>
      <c r="AX705" s="9"/>
      <c r="AY705" s="9"/>
    </row>
    <row r="706" spans="17:51" ht="12.75">
      <c r="Q706" s="28"/>
      <c r="Y706" s="28"/>
      <c r="AE706" s="59"/>
      <c r="AH706" s="9"/>
      <c r="AI706" s="9"/>
      <c r="AL706" s="9"/>
      <c r="AM706" s="9"/>
      <c r="AP706" s="9"/>
      <c r="AQ706" s="9"/>
      <c r="AT706" s="9"/>
      <c r="AU706" s="9"/>
      <c r="AX706" s="9"/>
      <c r="AY706" s="9"/>
    </row>
    <row r="707" spans="17:51" ht="12.75">
      <c r="Q707" s="28"/>
      <c r="Y707" s="28"/>
      <c r="AE707" s="59"/>
      <c r="AH707" s="9"/>
      <c r="AI707" s="9"/>
      <c r="AL707" s="9"/>
      <c r="AM707" s="9"/>
      <c r="AP707" s="9"/>
      <c r="AQ707" s="9"/>
      <c r="AT707" s="9"/>
      <c r="AU707" s="9"/>
      <c r="AX707" s="9"/>
      <c r="AY707" s="9"/>
    </row>
    <row r="708" spans="17:51" ht="12.75">
      <c r="Q708" s="28"/>
      <c r="Y708" s="28"/>
      <c r="AE708" s="59"/>
      <c r="AH708" s="9"/>
      <c r="AI708" s="9"/>
      <c r="AL708" s="9"/>
      <c r="AM708" s="9"/>
      <c r="AP708" s="9"/>
      <c r="AQ708" s="9"/>
      <c r="AT708" s="9"/>
      <c r="AU708" s="9"/>
      <c r="AX708" s="9"/>
      <c r="AY708" s="9"/>
    </row>
    <row r="709" spans="17:51" ht="12.75">
      <c r="Q709" s="28"/>
      <c r="Y709" s="28"/>
      <c r="AE709" s="59"/>
      <c r="AH709" s="9"/>
      <c r="AI709" s="9"/>
      <c r="AL709" s="9"/>
      <c r="AM709" s="9"/>
      <c r="AP709" s="9"/>
      <c r="AQ709" s="9"/>
      <c r="AT709" s="9"/>
      <c r="AU709" s="9"/>
      <c r="AX709" s="9"/>
      <c r="AY709" s="9"/>
    </row>
    <row r="710" spans="17:51" ht="12.75">
      <c r="Q710" s="28"/>
      <c r="Y710" s="28"/>
      <c r="AE710" s="59"/>
      <c r="AH710" s="9"/>
      <c r="AI710" s="9"/>
      <c r="AL710" s="9"/>
      <c r="AM710" s="9"/>
      <c r="AP710" s="9"/>
      <c r="AQ710" s="9"/>
      <c r="AT710" s="9"/>
      <c r="AU710" s="9"/>
      <c r="AX710" s="9"/>
      <c r="AY710" s="9"/>
    </row>
    <row r="711" spans="17:51" ht="12.75">
      <c r="Q711" s="28"/>
      <c r="Y711" s="28"/>
      <c r="AE711" s="59"/>
      <c r="AH711" s="9"/>
      <c r="AI711" s="9"/>
      <c r="AL711" s="9"/>
      <c r="AM711" s="9"/>
      <c r="AP711" s="9"/>
      <c r="AQ711" s="9"/>
      <c r="AT711" s="9"/>
      <c r="AU711" s="9"/>
      <c r="AX711" s="9"/>
      <c r="AY711" s="9"/>
    </row>
    <row r="712" spans="17:51" ht="12.75">
      <c r="Q712" s="28"/>
      <c r="Y712" s="28"/>
      <c r="AE712" s="59"/>
      <c r="AH712" s="9"/>
      <c r="AI712" s="9"/>
      <c r="AL712" s="9"/>
      <c r="AM712" s="9"/>
      <c r="AP712" s="9"/>
      <c r="AQ712" s="9"/>
      <c r="AT712" s="9"/>
      <c r="AU712" s="9"/>
      <c r="AX712" s="9"/>
      <c r="AY712" s="9"/>
    </row>
    <row r="713" spans="17:51" ht="12.75">
      <c r="Q713" s="28"/>
      <c r="Y713" s="28"/>
      <c r="AE713" s="59"/>
      <c r="AH713" s="9"/>
      <c r="AI713" s="9"/>
      <c r="AL713" s="9"/>
      <c r="AM713" s="9"/>
      <c r="AP713" s="9"/>
      <c r="AQ713" s="9"/>
      <c r="AT713" s="9"/>
      <c r="AU713" s="9"/>
      <c r="AX713" s="9"/>
      <c r="AY713" s="9"/>
    </row>
    <row r="714" spans="17:51" ht="12.75">
      <c r="Q714" s="28"/>
      <c r="Y714" s="28"/>
      <c r="AE714" s="59"/>
      <c r="AH714" s="9"/>
      <c r="AI714" s="9"/>
      <c r="AL714" s="9"/>
      <c r="AM714" s="9"/>
      <c r="AP714" s="9"/>
      <c r="AQ714" s="9"/>
      <c r="AT714" s="9"/>
      <c r="AU714" s="9"/>
      <c r="AX714" s="9"/>
      <c r="AY714" s="9"/>
    </row>
    <row r="715" spans="17:51" ht="12.75">
      <c r="Q715" s="28"/>
      <c r="Y715" s="28"/>
      <c r="AE715" s="59"/>
      <c r="AH715" s="9"/>
      <c r="AI715" s="9"/>
      <c r="AL715" s="9"/>
      <c r="AM715" s="9"/>
      <c r="AP715" s="9"/>
      <c r="AQ715" s="9"/>
      <c r="AT715" s="9"/>
      <c r="AU715" s="9"/>
      <c r="AX715" s="9"/>
      <c r="AY715" s="9"/>
    </row>
    <row r="716" spans="17:51" ht="12.75">
      <c r="Q716" s="28"/>
      <c r="Y716" s="28"/>
      <c r="AE716" s="59"/>
      <c r="AH716" s="9"/>
      <c r="AI716" s="9"/>
      <c r="AL716" s="9"/>
      <c r="AM716" s="9"/>
      <c r="AP716" s="9"/>
      <c r="AQ716" s="9"/>
      <c r="AT716" s="9"/>
      <c r="AU716" s="9"/>
      <c r="AX716" s="9"/>
      <c r="AY716" s="9"/>
    </row>
    <row r="717" spans="17:51" ht="12.75">
      <c r="Q717" s="28"/>
      <c r="Y717" s="28"/>
      <c r="AE717" s="59"/>
      <c r="AH717" s="9"/>
      <c r="AI717" s="9"/>
      <c r="AL717" s="9"/>
      <c r="AM717" s="9"/>
      <c r="AP717" s="9"/>
      <c r="AQ717" s="9"/>
      <c r="AT717" s="9"/>
      <c r="AU717" s="9"/>
      <c r="AX717" s="9"/>
      <c r="AY717" s="9"/>
    </row>
    <row r="718" spans="17:51" ht="12.75">
      <c r="Q718" s="28"/>
      <c r="Y718" s="28"/>
      <c r="AE718" s="59"/>
      <c r="AH718" s="9"/>
      <c r="AI718" s="9"/>
      <c r="AL718" s="9"/>
      <c r="AM718" s="9"/>
      <c r="AP718" s="9"/>
      <c r="AQ718" s="9"/>
      <c r="AT718" s="9"/>
      <c r="AU718" s="9"/>
      <c r="AX718" s="9"/>
      <c r="AY718" s="9"/>
    </row>
    <row r="719" spans="17:51" ht="12.75">
      <c r="Q719" s="28"/>
      <c r="Y719" s="28"/>
      <c r="AE719" s="59"/>
      <c r="AH719" s="9"/>
      <c r="AI719" s="9"/>
      <c r="AL719" s="9"/>
      <c r="AM719" s="9"/>
      <c r="AP719" s="9"/>
      <c r="AQ719" s="9"/>
      <c r="AT719" s="9"/>
      <c r="AU719" s="9"/>
      <c r="AX719" s="9"/>
      <c r="AY719" s="9"/>
    </row>
    <row r="720" spans="17:51" ht="12.75">
      <c r="Q720" s="28"/>
      <c r="Y720" s="28"/>
      <c r="AE720" s="59"/>
      <c r="AH720" s="9"/>
      <c r="AI720" s="9"/>
      <c r="AL720" s="9"/>
      <c r="AM720" s="9"/>
      <c r="AP720" s="9"/>
      <c r="AQ720" s="9"/>
      <c r="AT720" s="9"/>
      <c r="AU720" s="9"/>
      <c r="AX720" s="9"/>
      <c r="AY720" s="9"/>
    </row>
    <row r="721" spans="17:51" ht="12.75">
      <c r="Q721" s="28"/>
      <c r="Y721" s="28"/>
      <c r="AE721" s="59"/>
      <c r="AH721" s="9"/>
      <c r="AI721" s="9"/>
      <c r="AL721" s="9"/>
      <c r="AM721" s="9"/>
      <c r="AP721" s="9"/>
      <c r="AQ721" s="9"/>
      <c r="AT721" s="9"/>
      <c r="AU721" s="9"/>
      <c r="AX721" s="9"/>
      <c r="AY721" s="9"/>
    </row>
    <row r="722" spans="17:51" ht="12.75">
      <c r="Q722" s="28"/>
      <c r="Y722" s="28"/>
      <c r="AE722" s="59"/>
      <c r="AH722" s="9"/>
      <c r="AI722" s="9"/>
      <c r="AL722" s="9"/>
      <c r="AM722" s="9"/>
      <c r="AP722" s="9"/>
      <c r="AQ722" s="9"/>
      <c r="AT722" s="9"/>
      <c r="AU722" s="9"/>
      <c r="AX722" s="9"/>
      <c r="AY722" s="9"/>
    </row>
    <row r="723" spans="17:51" ht="12.75">
      <c r="Q723" s="28"/>
      <c r="Y723" s="28"/>
      <c r="AE723" s="59"/>
      <c r="AH723" s="9"/>
      <c r="AI723" s="9"/>
      <c r="AL723" s="9"/>
      <c r="AM723" s="9"/>
      <c r="AP723" s="9"/>
      <c r="AQ723" s="9"/>
      <c r="AT723" s="9"/>
      <c r="AU723" s="9"/>
      <c r="AX723" s="9"/>
      <c r="AY723" s="9"/>
    </row>
    <row r="724" spans="17:51" ht="12.75">
      <c r="Q724" s="28"/>
      <c r="Y724" s="28"/>
      <c r="AE724" s="59"/>
      <c r="AH724" s="9"/>
      <c r="AI724" s="9"/>
      <c r="AL724" s="9"/>
      <c r="AM724" s="9"/>
      <c r="AP724" s="9"/>
      <c r="AQ724" s="9"/>
      <c r="AT724" s="9"/>
      <c r="AU724" s="9"/>
      <c r="AX724" s="9"/>
      <c r="AY724" s="9"/>
    </row>
    <row r="725" spans="17:51" ht="12.75">
      <c r="Q725" s="28"/>
      <c r="Y725" s="28"/>
      <c r="AE725" s="59"/>
      <c r="AH725" s="9"/>
      <c r="AI725" s="9"/>
      <c r="AL725" s="9"/>
      <c r="AM725" s="9"/>
      <c r="AP725" s="9"/>
      <c r="AQ725" s="9"/>
      <c r="AT725" s="9"/>
      <c r="AU725" s="9"/>
      <c r="AX725" s="9"/>
      <c r="AY725" s="9"/>
    </row>
    <row r="726" spans="17:51" ht="12.75">
      <c r="Q726" s="28"/>
      <c r="Y726" s="28"/>
      <c r="AE726" s="59"/>
      <c r="AH726" s="9"/>
      <c r="AI726" s="9"/>
      <c r="AL726" s="9"/>
      <c r="AM726" s="9"/>
      <c r="AP726" s="9"/>
      <c r="AQ726" s="9"/>
      <c r="AT726" s="9"/>
      <c r="AU726" s="9"/>
      <c r="AX726" s="9"/>
      <c r="AY726" s="9"/>
    </row>
    <row r="727" spans="17:51" ht="12.75">
      <c r="Q727" s="28"/>
      <c r="Y727" s="28"/>
      <c r="AE727" s="59"/>
      <c r="AH727" s="9"/>
      <c r="AI727" s="9"/>
      <c r="AL727" s="9"/>
      <c r="AM727" s="9"/>
      <c r="AP727" s="9"/>
      <c r="AQ727" s="9"/>
      <c r="AT727" s="9"/>
      <c r="AU727" s="9"/>
      <c r="AX727" s="9"/>
      <c r="AY727" s="9"/>
    </row>
    <row r="728" spans="17:51" ht="12.75">
      <c r="Q728" s="28"/>
      <c r="Y728" s="28"/>
      <c r="AE728" s="59"/>
      <c r="AH728" s="9"/>
      <c r="AI728" s="9"/>
      <c r="AL728" s="9"/>
      <c r="AM728" s="9"/>
      <c r="AP728" s="9"/>
      <c r="AQ728" s="9"/>
      <c r="AT728" s="9"/>
      <c r="AU728" s="9"/>
      <c r="AX728" s="9"/>
      <c r="AY728" s="9"/>
    </row>
    <row r="729" spans="17:51" ht="12.75">
      <c r="Q729" s="28"/>
      <c r="Y729" s="28"/>
      <c r="AE729" s="59"/>
      <c r="AH729" s="9"/>
      <c r="AI729" s="9"/>
      <c r="AL729" s="9"/>
      <c r="AM729" s="9"/>
      <c r="AP729" s="9"/>
      <c r="AQ729" s="9"/>
      <c r="AT729" s="9"/>
      <c r="AU729" s="9"/>
      <c r="AX729" s="9"/>
      <c r="AY729" s="9"/>
    </row>
    <row r="730" spans="17:51" ht="12.75">
      <c r="Q730" s="28"/>
      <c r="Y730" s="28"/>
      <c r="AE730" s="59"/>
      <c r="AH730" s="9"/>
      <c r="AI730" s="9"/>
      <c r="AL730" s="9"/>
      <c r="AM730" s="9"/>
      <c r="AP730" s="9"/>
      <c r="AQ730" s="9"/>
      <c r="AT730" s="9"/>
      <c r="AU730" s="9"/>
      <c r="AX730" s="9"/>
      <c r="AY730" s="9"/>
    </row>
    <row r="731" spans="17:51" ht="12.75">
      <c r="Q731" s="28"/>
      <c r="Y731" s="28"/>
      <c r="AE731" s="59"/>
      <c r="AH731" s="9"/>
      <c r="AI731" s="9"/>
      <c r="AL731" s="9"/>
      <c r="AM731" s="9"/>
      <c r="AP731" s="9"/>
      <c r="AQ731" s="9"/>
      <c r="AT731" s="9"/>
      <c r="AU731" s="9"/>
      <c r="AX731" s="9"/>
      <c r="AY731" s="9"/>
    </row>
    <row r="732" spans="17:51" ht="12.75">
      <c r="Q732" s="28"/>
      <c r="Y732" s="28"/>
      <c r="AE732" s="59"/>
      <c r="AH732" s="9"/>
      <c r="AI732" s="9"/>
      <c r="AL732" s="9"/>
      <c r="AM732" s="9"/>
      <c r="AP732" s="9"/>
      <c r="AQ732" s="9"/>
      <c r="AT732" s="9"/>
      <c r="AU732" s="9"/>
      <c r="AX732" s="9"/>
      <c r="AY732" s="9"/>
    </row>
    <row r="733" spans="17:51" ht="12.75">
      <c r="Q733" s="28"/>
      <c r="Y733" s="28"/>
      <c r="AE733" s="59"/>
      <c r="AH733" s="9"/>
      <c r="AI733" s="9"/>
      <c r="AL733" s="9"/>
      <c r="AM733" s="9"/>
      <c r="AP733" s="9"/>
      <c r="AQ733" s="9"/>
      <c r="AT733" s="9"/>
      <c r="AU733" s="9"/>
      <c r="AX733" s="9"/>
      <c r="AY733" s="9"/>
    </row>
    <row r="734" spans="17:51" ht="12.75">
      <c r="Q734" s="28"/>
      <c r="Y734" s="28"/>
      <c r="AE734" s="59"/>
      <c r="AH734" s="9"/>
      <c r="AI734" s="9"/>
      <c r="AL734" s="9"/>
      <c r="AM734" s="9"/>
      <c r="AP734" s="9"/>
      <c r="AQ734" s="9"/>
      <c r="AT734" s="9"/>
      <c r="AU734" s="9"/>
      <c r="AX734" s="9"/>
      <c r="AY734" s="9"/>
    </row>
    <row r="735" spans="17:51" ht="12.75">
      <c r="Q735" s="28"/>
      <c r="Y735" s="28"/>
      <c r="AE735" s="59"/>
      <c r="AH735" s="9"/>
      <c r="AI735" s="9"/>
      <c r="AL735" s="9"/>
      <c r="AM735" s="9"/>
      <c r="AP735" s="9"/>
      <c r="AQ735" s="9"/>
      <c r="AT735" s="9"/>
      <c r="AU735" s="9"/>
      <c r="AX735" s="9"/>
      <c r="AY735" s="9"/>
    </row>
    <row r="736" spans="17:51" ht="12.75">
      <c r="Q736" s="28"/>
      <c r="Y736" s="28"/>
      <c r="AE736" s="59"/>
      <c r="AH736" s="9"/>
      <c r="AI736" s="9"/>
      <c r="AL736" s="9"/>
      <c r="AM736" s="9"/>
      <c r="AP736" s="9"/>
      <c r="AQ736" s="9"/>
      <c r="AT736" s="9"/>
      <c r="AU736" s="9"/>
      <c r="AX736" s="9"/>
      <c r="AY736" s="9"/>
    </row>
    <row r="737" spans="17:51" ht="12.75">
      <c r="Q737" s="28"/>
      <c r="Y737" s="28"/>
      <c r="AE737" s="59"/>
      <c r="AH737" s="9"/>
      <c r="AI737" s="9"/>
      <c r="AL737" s="9"/>
      <c r="AM737" s="9"/>
      <c r="AP737" s="9"/>
      <c r="AQ737" s="9"/>
      <c r="AT737" s="9"/>
      <c r="AU737" s="9"/>
      <c r="AX737" s="9"/>
      <c r="AY737" s="9"/>
    </row>
    <row r="738" spans="17:51" ht="12.75">
      <c r="Q738" s="28"/>
      <c r="Y738" s="28"/>
      <c r="AE738" s="59"/>
      <c r="AH738" s="9"/>
      <c r="AI738" s="9"/>
      <c r="AL738" s="9"/>
      <c r="AM738" s="9"/>
      <c r="AP738" s="9"/>
      <c r="AQ738" s="9"/>
      <c r="AT738" s="9"/>
      <c r="AU738" s="9"/>
      <c r="AX738" s="9"/>
      <c r="AY738" s="9"/>
    </row>
    <row r="739" spans="17:51" ht="12.75">
      <c r="Q739" s="28"/>
      <c r="Y739" s="28"/>
      <c r="AE739" s="59"/>
      <c r="AH739" s="9"/>
      <c r="AI739" s="9"/>
      <c r="AL739" s="9"/>
      <c r="AM739" s="9"/>
      <c r="AP739" s="9"/>
      <c r="AQ739" s="9"/>
      <c r="AT739" s="9"/>
      <c r="AU739" s="9"/>
      <c r="AX739" s="9"/>
      <c r="AY739" s="9"/>
    </row>
    <row r="740" spans="17:51" ht="12.75">
      <c r="Q740" s="28"/>
      <c r="Y740" s="28"/>
      <c r="AE740" s="59"/>
      <c r="AH740" s="9"/>
      <c r="AI740" s="9"/>
      <c r="AL740" s="9"/>
      <c r="AM740" s="9"/>
      <c r="AP740" s="9"/>
      <c r="AQ740" s="9"/>
      <c r="AT740" s="9"/>
      <c r="AU740" s="9"/>
      <c r="AX740" s="9"/>
      <c r="AY740" s="9"/>
    </row>
    <row r="741" spans="17:51" ht="12.75">
      <c r="Q741" s="28"/>
      <c r="Y741" s="28"/>
      <c r="AE741" s="59"/>
      <c r="AH741" s="9"/>
      <c r="AI741" s="9"/>
      <c r="AL741" s="9"/>
      <c r="AM741" s="9"/>
      <c r="AP741" s="9"/>
      <c r="AQ741" s="9"/>
      <c r="AT741" s="9"/>
      <c r="AU741" s="9"/>
      <c r="AX741" s="9"/>
      <c r="AY741" s="9"/>
    </row>
    <row r="742" spans="17:51" ht="12.75">
      <c r="Q742" s="28"/>
      <c r="Y742" s="28"/>
      <c r="AE742" s="59"/>
      <c r="AH742" s="9"/>
      <c r="AI742" s="9"/>
      <c r="AL742" s="9"/>
      <c r="AM742" s="9"/>
      <c r="AP742" s="9"/>
      <c r="AQ742" s="9"/>
      <c r="AT742" s="9"/>
      <c r="AU742" s="9"/>
      <c r="AX742" s="9"/>
      <c r="AY742" s="9"/>
    </row>
    <row r="743" spans="17:51" ht="12.75">
      <c r="Q743" s="28"/>
      <c r="Y743" s="28"/>
      <c r="AE743" s="59"/>
      <c r="AH743" s="9"/>
      <c r="AI743" s="9"/>
      <c r="AL743" s="9"/>
      <c r="AM743" s="9"/>
      <c r="AP743" s="9"/>
      <c r="AQ743" s="9"/>
      <c r="AT743" s="9"/>
      <c r="AU743" s="9"/>
      <c r="AX743" s="9"/>
      <c r="AY743" s="9"/>
    </row>
    <row r="744" spans="17:51" ht="12.75">
      <c r="Q744" s="28"/>
      <c r="Y744" s="28"/>
      <c r="AE744" s="59"/>
      <c r="AH744" s="9"/>
      <c r="AI744" s="9"/>
      <c r="AL744" s="9"/>
      <c r="AM744" s="9"/>
      <c r="AP744" s="9"/>
      <c r="AQ744" s="9"/>
      <c r="AT744" s="9"/>
      <c r="AU744" s="9"/>
      <c r="AX744" s="9"/>
      <c r="AY744" s="9"/>
    </row>
    <row r="745" spans="17:51" ht="12.75">
      <c r="Q745" s="28"/>
      <c r="Y745" s="28"/>
      <c r="AE745" s="59"/>
      <c r="AH745" s="9"/>
      <c r="AI745" s="9"/>
      <c r="AL745" s="9"/>
      <c r="AM745" s="9"/>
      <c r="AP745" s="9"/>
      <c r="AQ745" s="9"/>
      <c r="AT745" s="9"/>
      <c r="AU745" s="9"/>
      <c r="AX745" s="9"/>
      <c r="AY745" s="9"/>
    </row>
    <row r="746" spans="17:51" ht="12.75">
      <c r="Q746" s="28"/>
      <c r="Y746" s="28"/>
      <c r="AE746" s="59"/>
      <c r="AH746" s="9"/>
      <c r="AI746" s="9"/>
      <c r="AL746" s="9"/>
      <c r="AM746" s="9"/>
      <c r="AP746" s="9"/>
      <c r="AQ746" s="9"/>
      <c r="AT746" s="9"/>
      <c r="AU746" s="9"/>
      <c r="AX746" s="9"/>
      <c r="AY746" s="9"/>
    </row>
    <row r="747" spans="17:51" ht="12.75">
      <c r="Q747" s="28"/>
      <c r="Y747" s="28"/>
      <c r="AE747" s="59"/>
      <c r="AH747" s="9"/>
      <c r="AI747" s="9"/>
      <c r="AL747" s="9"/>
      <c r="AM747" s="9"/>
      <c r="AP747" s="9"/>
      <c r="AQ747" s="9"/>
      <c r="AT747" s="9"/>
      <c r="AU747" s="9"/>
      <c r="AX747" s="9"/>
      <c r="AY747" s="9"/>
    </row>
    <row r="748" spans="17:51" ht="12.75">
      <c r="Q748" s="28"/>
      <c r="Y748" s="28"/>
      <c r="AE748" s="59"/>
      <c r="AH748" s="9"/>
      <c r="AI748" s="9"/>
      <c r="AL748" s="9"/>
      <c r="AM748" s="9"/>
      <c r="AP748" s="9"/>
      <c r="AQ748" s="9"/>
      <c r="AT748" s="9"/>
      <c r="AU748" s="9"/>
      <c r="AX748" s="9"/>
      <c r="AY748" s="9"/>
    </row>
    <row r="749" spans="17:51" ht="12.75">
      <c r="Q749" s="28"/>
      <c r="Y749" s="28"/>
      <c r="AE749" s="59"/>
      <c r="AH749" s="9"/>
      <c r="AI749" s="9"/>
      <c r="AL749" s="9"/>
      <c r="AM749" s="9"/>
      <c r="AP749" s="9"/>
      <c r="AQ749" s="9"/>
      <c r="AT749" s="9"/>
      <c r="AU749" s="9"/>
      <c r="AX749" s="9"/>
      <c r="AY749" s="9"/>
    </row>
    <row r="750" spans="17:51" ht="12.75">
      <c r="Q750" s="28"/>
      <c r="Y750" s="28"/>
      <c r="AE750" s="59"/>
      <c r="AH750" s="9"/>
      <c r="AI750" s="9"/>
      <c r="AL750" s="9"/>
      <c r="AM750" s="9"/>
      <c r="AP750" s="9"/>
      <c r="AQ750" s="9"/>
      <c r="AT750" s="9"/>
      <c r="AU750" s="9"/>
      <c r="AX750" s="9"/>
      <c r="AY750" s="9"/>
    </row>
    <row r="751" spans="17:51" ht="12.75">
      <c r="Q751" s="28"/>
      <c r="Y751" s="28"/>
      <c r="AE751" s="59"/>
      <c r="AH751" s="9"/>
      <c r="AI751" s="9"/>
      <c r="AL751" s="9"/>
      <c r="AM751" s="9"/>
      <c r="AP751" s="9"/>
      <c r="AQ751" s="9"/>
      <c r="AT751" s="9"/>
      <c r="AU751" s="9"/>
      <c r="AX751" s="9"/>
      <c r="AY751" s="9"/>
    </row>
    <row r="752" spans="17:51" ht="12.75">
      <c r="Q752" s="28"/>
      <c r="Y752" s="28"/>
      <c r="AE752" s="59"/>
      <c r="AH752" s="9"/>
      <c r="AI752" s="9"/>
      <c r="AL752" s="9"/>
      <c r="AM752" s="9"/>
      <c r="AP752" s="9"/>
      <c r="AQ752" s="9"/>
      <c r="AT752" s="9"/>
      <c r="AU752" s="9"/>
      <c r="AX752" s="9"/>
      <c r="AY752" s="9"/>
    </row>
    <row r="753" spans="17:51" ht="12.75">
      <c r="Q753" s="28"/>
      <c r="Y753" s="28"/>
      <c r="AE753" s="59"/>
      <c r="AH753" s="9"/>
      <c r="AI753" s="9"/>
      <c r="AL753" s="9"/>
      <c r="AM753" s="9"/>
      <c r="AP753" s="9"/>
      <c r="AQ753" s="9"/>
      <c r="AT753" s="9"/>
      <c r="AU753" s="9"/>
      <c r="AX753" s="9"/>
      <c r="AY753" s="9"/>
    </row>
    <row r="754" spans="17:51" ht="12.75">
      <c r="Q754" s="28"/>
      <c r="Y754" s="28"/>
      <c r="AE754" s="59"/>
      <c r="AH754" s="9"/>
      <c r="AI754" s="9"/>
      <c r="AL754" s="9"/>
      <c r="AM754" s="9"/>
      <c r="AP754" s="9"/>
      <c r="AQ754" s="9"/>
      <c r="AT754" s="9"/>
      <c r="AU754" s="9"/>
      <c r="AX754" s="9"/>
      <c r="AY754" s="9"/>
    </row>
    <row r="755" spans="17:51" ht="12.75">
      <c r="Q755" s="28"/>
      <c r="Y755" s="28"/>
      <c r="AE755" s="59"/>
      <c r="AH755" s="9"/>
      <c r="AI755" s="9"/>
      <c r="AL755" s="9"/>
      <c r="AM755" s="9"/>
      <c r="AP755" s="9"/>
      <c r="AQ755" s="9"/>
      <c r="AT755" s="9"/>
      <c r="AU755" s="9"/>
      <c r="AX755" s="9"/>
      <c r="AY755" s="9"/>
    </row>
    <row r="756" spans="17:51" ht="12.75">
      <c r="Q756" s="28"/>
      <c r="Y756" s="28"/>
      <c r="AE756" s="59"/>
      <c r="AH756" s="9"/>
      <c r="AI756" s="9"/>
      <c r="AL756" s="9"/>
      <c r="AM756" s="9"/>
      <c r="AP756" s="9"/>
      <c r="AQ756" s="9"/>
      <c r="AT756" s="9"/>
      <c r="AU756" s="9"/>
      <c r="AX756" s="9"/>
      <c r="AY756" s="9"/>
    </row>
    <row r="757" spans="17:51" ht="12.75">
      <c r="Q757" s="28"/>
      <c r="Y757" s="28"/>
      <c r="AE757" s="59"/>
      <c r="AH757" s="9"/>
      <c r="AI757" s="9"/>
      <c r="AL757" s="9"/>
      <c r="AM757" s="9"/>
      <c r="AP757" s="9"/>
      <c r="AQ757" s="9"/>
      <c r="AT757" s="9"/>
      <c r="AU757" s="9"/>
      <c r="AX757" s="9"/>
      <c r="AY757" s="9"/>
    </row>
    <row r="758" spans="17:51" ht="12.75">
      <c r="Q758" s="28"/>
      <c r="Y758" s="28"/>
      <c r="AE758" s="59"/>
      <c r="AH758" s="9"/>
      <c r="AI758" s="9"/>
      <c r="AL758" s="9"/>
      <c r="AM758" s="9"/>
      <c r="AP758" s="9"/>
      <c r="AQ758" s="9"/>
      <c r="AT758" s="9"/>
      <c r="AU758" s="9"/>
      <c r="AX758" s="9"/>
      <c r="AY758" s="9"/>
    </row>
    <row r="759" spans="17:51" ht="12.75">
      <c r="Q759" s="28"/>
      <c r="Y759" s="28"/>
      <c r="AE759" s="59"/>
      <c r="AH759" s="9"/>
      <c r="AI759" s="9"/>
      <c r="AL759" s="9"/>
      <c r="AM759" s="9"/>
      <c r="AP759" s="9"/>
      <c r="AQ759" s="9"/>
      <c r="AT759" s="9"/>
      <c r="AU759" s="9"/>
      <c r="AX759" s="9"/>
      <c r="AY759" s="9"/>
    </row>
    <row r="760" spans="17:51" ht="12.75">
      <c r="Q760" s="28"/>
      <c r="Y760" s="28"/>
      <c r="AE760" s="59"/>
      <c r="AH760" s="9"/>
      <c r="AI760" s="9"/>
      <c r="AL760" s="9"/>
      <c r="AM760" s="9"/>
      <c r="AP760" s="9"/>
      <c r="AQ760" s="9"/>
      <c r="AT760" s="9"/>
      <c r="AU760" s="9"/>
      <c r="AX760" s="9"/>
      <c r="AY760" s="9"/>
    </row>
    <row r="761" spans="17:51" ht="12.75">
      <c r="Q761" s="28"/>
      <c r="Y761" s="28"/>
      <c r="AE761" s="59"/>
      <c r="AH761" s="9"/>
      <c r="AI761" s="9"/>
      <c r="AL761" s="9"/>
      <c r="AM761" s="9"/>
      <c r="AP761" s="9"/>
      <c r="AQ761" s="9"/>
      <c r="AT761" s="9"/>
      <c r="AU761" s="9"/>
      <c r="AX761" s="9"/>
      <c r="AY761" s="9"/>
    </row>
    <row r="762" spans="17:51" ht="12.75">
      <c r="Q762" s="28"/>
      <c r="Y762" s="28"/>
      <c r="AE762" s="59"/>
      <c r="AH762" s="9"/>
      <c r="AI762" s="9"/>
      <c r="AL762" s="9"/>
      <c r="AM762" s="9"/>
      <c r="AP762" s="9"/>
      <c r="AQ762" s="9"/>
      <c r="AT762" s="9"/>
      <c r="AU762" s="9"/>
      <c r="AX762" s="9"/>
      <c r="AY762" s="9"/>
    </row>
    <row r="763" spans="17:51" ht="12.75">
      <c r="Q763" s="28"/>
      <c r="Y763" s="28"/>
      <c r="AE763" s="59"/>
      <c r="AH763" s="9"/>
      <c r="AI763" s="9"/>
      <c r="AL763" s="9"/>
      <c r="AM763" s="9"/>
      <c r="AP763" s="9"/>
      <c r="AQ763" s="9"/>
      <c r="AT763" s="9"/>
      <c r="AU763" s="9"/>
      <c r="AX763" s="9"/>
      <c r="AY763" s="9"/>
    </row>
    <row r="764" spans="17:51" ht="12.75">
      <c r="Q764" s="28"/>
      <c r="Y764" s="28"/>
      <c r="AE764" s="59"/>
      <c r="AH764" s="9"/>
      <c r="AI764" s="9"/>
      <c r="AL764" s="9"/>
      <c r="AM764" s="9"/>
      <c r="AP764" s="9"/>
      <c r="AQ764" s="9"/>
      <c r="AT764" s="9"/>
      <c r="AU764" s="9"/>
      <c r="AX764" s="9"/>
      <c r="AY764" s="9"/>
    </row>
    <row r="765" spans="17:51" ht="12.75">
      <c r="Q765" s="28"/>
      <c r="Y765" s="28"/>
      <c r="AE765" s="59"/>
      <c r="AH765" s="9"/>
      <c r="AI765" s="9"/>
      <c r="AL765" s="9"/>
      <c r="AM765" s="9"/>
      <c r="AP765" s="9"/>
      <c r="AQ765" s="9"/>
      <c r="AT765" s="9"/>
      <c r="AU765" s="9"/>
      <c r="AX765" s="9"/>
      <c r="AY765" s="9"/>
    </row>
    <row r="766" spans="17:51" ht="12.75">
      <c r="Q766" s="28"/>
      <c r="Y766" s="28"/>
      <c r="AE766" s="59"/>
      <c r="AH766" s="9"/>
      <c r="AI766" s="9"/>
      <c r="AL766" s="9"/>
      <c r="AM766" s="9"/>
      <c r="AP766" s="9"/>
      <c r="AQ766" s="9"/>
      <c r="AT766" s="9"/>
      <c r="AU766" s="9"/>
      <c r="AX766" s="9"/>
      <c r="AY766" s="9"/>
    </row>
    <row r="767" spans="17:51" ht="12.75">
      <c r="Q767" s="28"/>
      <c r="Y767" s="28"/>
      <c r="AE767" s="59"/>
      <c r="AH767" s="9"/>
      <c r="AI767" s="9"/>
      <c r="AL767" s="9"/>
      <c r="AM767" s="9"/>
      <c r="AP767" s="9"/>
      <c r="AQ767" s="9"/>
      <c r="AT767" s="9"/>
      <c r="AU767" s="9"/>
      <c r="AX767" s="9"/>
      <c r="AY767" s="9"/>
    </row>
    <row r="768" spans="17:51" ht="12.75">
      <c r="Q768" s="28"/>
      <c r="Y768" s="28"/>
      <c r="AE768" s="59"/>
      <c r="AH768" s="9"/>
      <c r="AI768" s="9"/>
      <c r="AL768" s="9"/>
      <c r="AM768" s="9"/>
      <c r="AP768" s="9"/>
      <c r="AQ768" s="9"/>
      <c r="AT768" s="9"/>
      <c r="AU768" s="9"/>
      <c r="AX768" s="9"/>
      <c r="AY768" s="9"/>
    </row>
    <row r="769" spans="17:51" ht="12.75">
      <c r="Q769" s="28"/>
      <c r="Y769" s="28"/>
      <c r="AE769" s="59"/>
      <c r="AH769" s="9"/>
      <c r="AI769" s="9"/>
      <c r="AL769" s="9"/>
      <c r="AM769" s="9"/>
      <c r="AP769" s="9"/>
      <c r="AQ769" s="9"/>
      <c r="AT769" s="9"/>
      <c r="AU769" s="9"/>
      <c r="AX769" s="9"/>
      <c r="AY769" s="9"/>
    </row>
    <row r="770" spans="17:51" ht="12.75">
      <c r="Q770" s="28"/>
      <c r="Y770" s="28"/>
      <c r="AE770" s="59"/>
      <c r="AH770" s="9"/>
      <c r="AI770" s="9"/>
      <c r="AL770" s="9"/>
      <c r="AM770" s="9"/>
      <c r="AP770" s="9"/>
      <c r="AQ770" s="9"/>
      <c r="AT770" s="9"/>
      <c r="AU770" s="9"/>
      <c r="AX770" s="9"/>
      <c r="AY770" s="9"/>
    </row>
    <row r="771" spans="17:51" ht="12.75">
      <c r="Q771" s="28"/>
      <c r="Y771" s="28"/>
      <c r="AE771" s="59"/>
      <c r="AH771" s="9"/>
      <c r="AI771" s="9"/>
      <c r="AL771" s="9"/>
      <c r="AM771" s="9"/>
      <c r="AP771" s="9"/>
      <c r="AQ771" s="9"/>
      <c r="AT771" s="9"/>
      <c r="AU771" s="9"/>
      <c r="AX771" s="9"/>
      <c r="AY771" s="9"/>
    </row>
    <row r="772" spans="17:51" ht="12.75">
      <c r="Q772" s="28"/>
      <c r="Y772" s="28"/>
      <c r="AE772" s="59"/>
      <c r="AH772" s="9"/>
      <c r="AI772" s="9"/>
      <c r="AL772" s="9"/>
      <c r="AM772" s="9"/>
      <c r="AP772" s="9"/>
      <c r="AQ772" s="9"/>
      <c r="AT772" s="9"/>
      <c r="AU772" s="9"/>
      <c r="AX772" s="9"/>
      <c r="AY772" s="9"/>
    </row>
    <row r="773" spans="17:51" ht="12.75">
      <c r="Q773" s="28"/>
      <c r="Y773" s="28"/>
      <c r="AE773" s="59"/>
      <c r="AH773" s="9"/>
      <c r="AI773" s="9"/>
      <c r="AL773" s="9"/>
      <c r="AM773" s="9"/>
      <c r="AP773" s="9"/>
      <c r="AQ773" s="9"/>
      <c r="AT773" s="9"/>
      <c r="AU773" s="9"/>
      <c r="AX773" s="9"/>
      <c r="AY773" s="9"/>
    </row>
    <row r="774" spans="17:51" ht="12.75">
      <c r="Q774" s="28"/>
      <c r="Y774" s="28"/>
      <c r="AE774" s="59"/>
      <c r="AH774" s="9"/>
      <c r="AI774" s="9"/>
      <c r="AL774" s="9"/>
      <c r="AM774" s="9"/>
      <c r="AP774" s="9"/>
      <c r="AQ774" s="9"/>
      <c r="AT774" s="9"/>
      <c r="AU774" s="9"/>
      <c r="AX774" s="9"/>
      <c r="AY774" s="9"/>
    </row>
    <row r="775" spans="17:51" ht="12.75">
      <c r="Q775" s="28"/>
      <c r="Y775" s="28"/>
      <c r="AE775" s="59"/>
      <c r="AH775" s="9"/>
      <c r="AI775" s="9"/>
      <c r="AL775" s="9"/>
      <c r="AM775" s="9"/>
      <c r="AP775" s="9"/>
      <c r="AQ775" s="9"/>
      <c r="AT775" s="9"/>
      <c r="AU775" s="9"/>
      <c r="AX775" s="9"/>
      <c r="AY775" s="9"/>
    </row>
    <row r="776" spans="17:51" ht="12.75">
      <c r="Q776" s="28"/>
      <c r="Y776" s="28"/>
      <c r="AE776" s="59"/>
      <c r="AH776" s="9"/>
      <c r="AI776" s="9"/>
      <c r="AL776" s="9"/>
      <c r="AM776" s="9"/>
      <c r="AP776" s="9"/>
      <c r="AQ776" s="9"/>
      <c r="AT776" s="9"/>
      <c r="AU776" s="9"/>
      <c r="AX776" s="9"/>
      <c r="AY776" s="9"/>
    </row>
    <row r="777" spans="17:51" ht="12.75">
      <c r="Q777" s="28"/>
      <c r="Y777" s="28"/>
      <c r="AE777" s="59"/>
      <c r="AH777" s="9"/>
      <c r="AI777" s="9"/>
      <c r="AL777" s="9"/>
      <c r="AM777" s="9"/>
      <c r="AP777" s="9"/>
      <c r="AQ777" s="9"/>
      <c r="AT777" s="9"/>
      <c r="AU777" s="9"/>
      <c r="AX777" s="9"/>
      <c r="AY777" s="9"/>
    </row>
    <row r="778" spans="17:51" ht="12.75">
      <c r="Q778" s="28"/>
      <c r="Y778" s="28"/>
      <c r="AE778" s="59"/>
      <c r="AH778" s="9"/>
      <c r="AI778" s="9"/>
      <c r="AL778" s="9"/>
      <c r="AM778" s="9"/>
      <c r="AP778" s="9"/>
      <c r="AQ778" s="9"/>
      <c r="AT778" s="9"/>
      <c r="AU778" s="9"/>
      <c r="AX778" s="9"/>
      <c r="AY778" s="9"/>
    </row>
    <row r="779" spans="17:51" ht="12.75">
      <c r="Q779" s="28"/>
      <c r="Y779" s="28"/>
      <c r="AE779" s="59"/>
      <c r="AH779" s="9"/>
      <c r="AI779" s="9"/>
      <c r="AL779" s="9"/>
      <c r="AM779" s="9"/>
      <c r="AP779" s="9"/>
      <c r="AQ779" s="9"/>
      <c r="AT779" s="9"/>
      <c r="AU779" s="9"/>
      <c r="AX779" s="9"/>
      <c r="AY779" s="9"/>
    </row>
    <row r="780" spans="17:51" ht="12.75">
      <c r="Q780" s="28"/>
      <c r="Y780" s="28"/>
      <c r="AE780" s="59"/>
      <c r="AH780" s="9"/>
      <c r="AI780" s="9"/>
      <c r="AL780" s="9"/>
      <c r="AM780" s="9"/>
      <c r="AP780" s="9"/>
      <c r="AQ780" s="9"/>
      <c r="AT780" s="9"/>
      <c r="AU780" s="9"/>
      <c r="AX780" s="9"/>
      <c r="AY780" s="9"/>
    </row>
    <row r="781" spans="17:51" ht="12.75">
      <c r="Q781" s="28"/>
      <c r="Y781" s="28"/>
      <c r="AE781" s="59"/>
      <c r="AH781" s="9"/>
      <c r="AI781" s="9"/>
      <c r="AL781" s="9"/>
      <c r="AM781" s="9"/>
      <c r="AP781" s="9"/>
      <c r="AQ781" s="9"/>
      <c r="AT781" s="9"/>
      <c r="AU781" s="9"/>
      <c r="AX781" s="9"/>
      <c r="AY781" s="9"/>
    </row>
    <row r="782" spans="17:51" ht="12.75">
      <c r="Q782" s="28"/>
      <c r="Y782" s="28"/>
      <c r="AE782" s="59"/>
      <c r="AH782" s="9"/>
      <c r="AI782" s="9"/>
      <c r="AL782" s="9"/>
      <c r="AM782" s="9"/>
      <c r="AP782" s="9"/>
      <c r="AQ782" s="9"/>
      <c r="AT782" s="9"/>
      <c r="AU782" s="9"/>
      <c r="AX782" s="9"/>
      <c r="AY782" s="9"/>
    </row>
    <row r="783" spans="17:51" ht="12.75">
      <c r="Q783" s="28"/>
      <c r="Y783" s="28"/>
      <c r="AE783" s="59"/>
      <c r="AH783" s="9"/>
      <c r="AI783" s="9"/>
      <c r="AL783" s="9"/>
      <c r="AM783" s="9"/>
      <c r="AP783" s="9"/>
      <c r="AQ783" s="9"/>
      <c r="AT783" s="9"/>
      <c r="AU783" s="9"/>
      <c r="AX783" s="9"/>
      <c r="AY783" s="9"/>
    </row>
    <row r="784" spans="17:51" ht="12.75">
      <c r="Q784" s="28"/>
      <c r="Y784" s="28"/>
      <c r="AE784" s="59"/>
      <c r="AH784" s="9"/>
      <c r="AI784" s="9"/>
      <c r="AL784" s="9"/>
      <c r="AM784" s="9"/>
      <c r="AP784" s="9"/>
      <c r="AQ784" s="9"/>
      <c r="AT784" s="9"/>
      <c r="AU784" s="9"/>
      <c r="AX784" s="9"/>
      <c r="AY784" s="9"/>
    </row>
    <row r="785" spans="17:51" ht="12.75">
      <c r="Q785" s="28"/>
      <c r="Y785" s="28"/>
      <c r="AE785" s="59"/>
      <c r="AH785" s="9"/>
      <c r="AI785" s="9"/>
      <c r="AL785" s="9"/>
      <c r="AM785" s="9"/>
      <c r="AP785" s="9"/>
      <c r="AQ785" s="9"/>
      <c r="AT785" s="9"/>
      <c r="AU785" s="9"/>
      <c r="AX785" s="9"/>
      <c r="AY785" s="9"/>
    </row>
    <row r="786" spans="17:51" ht="12.75">
      <c r="Q786" s="28"/>
      <c r="Y786" s="28"/>
      <c r="AE786" s="59"/>
      <c r="AH786" s="9"/>
      <c r="AI786" s="9"/>
      <c r="AL786" s="9"/>
      <c r="AM786" s="9"/>
      <c r="AP786" s="9"/>
      <c r="AQ786" s="9"/>
      <c r="AT786" s="9"/>
      <c r="AU786" s="9"/>
      <c r="AX786" s="9"/>
      <c r="AY786" s="9"/>
    </row>
    <row r="787" spans="17:51" ht="12.75">
      <c r="Q787" s="28"/>
      <c r="Y787" s="28"/>
      <c r="AE787" s="59"/>
      <c r="AH787" s="9"/>
      <c r="AI787" s="9"/>
      <c r="AL787" s="9"/>
      <c r="AM787" s="9"/>
      <c r="AP787" s="9"/>
      <c r="AQ787" s="9"/>
      <c r="AT787" s="9"/>
      <c r="AU787" s="9"/>
      <c r="AX787" s="9"/>
      <c r="AY787" s="9"/>
    </row>
    <row r="788" spans="17:51" ht="12.75">
      <c r="Q788" s="28"/>
      <c r="Y788" s="28"/>
      <c r="AE788" s="59"/>
      <c r="AH788" s="9"/>
      <c r="AI788" s="9"/>
      <c r="AL788" s="9"/>
      <c r="AM788" s="9"/>
      <c r="AP788" s="9"/>
      <c r="AQ788" s="9"/>
      <c r="AT788" s="9"/>
      <c r="AU788" s="9"/>
      <c r="AX788" s="9"/>
      <c r="AY788" s="9"/>
    </row>
    <row r="789" spans="17:51" ht="12.75">
      <c r="Q789" s="28"/>
      <c r="Y789" s="28"/>
      <c r="AE789" s="59"/>
      <c r="AH789" s="9"/>
      <c r="AI789" s="9"/>
      <c r="AL789" s="9"/>
      <c r="AM789" s="9"/>
      <c r="AP789" s="9"/>
      <c r="AQ789" s="9"/>
      <c r="AT789" s="9"/>
      <c r="AU789" s="9"/>
      <c r="AX789" s="9"/>
      <c r="AY789" s="9"/>
    </row>
    <row r="790" spans="17:51" ht="12.75">
      <c r="Q790" s="28"/>
      <c r="Y790" s="28"/>
      <c r="AE790" s="59"/>
      <c r="AH790" s="9"/>
      <c r="AI790" s="9"/>
      <c r="AL790" s="9"/>
      <c r="AM790" s="9"/>
      <c r="AP790" s="9"/>
      <c r="AQ790" s="9"/>
      <c r="AT790" s="9"/>
      <c r="AU790" s="9"/>
      <c r="AX790" s="9"/>
      <c r="AY790" s="9"/>
    </row>
    <row r="791" spans="17:51" ht="12.75">
      <c r="Q791" s="28"/>
      <c r="Y791" s="28"/>
      <c r="AE791" s="59"/>
      <c r="AH791" s="9"/>
      <c r="AI791" s="9"/>
      <c r="AL791" s="9"/>
      <c r="AM791" s="9"/>
      <c r="AP791" s="9"/>
      <c r="AQ791" s="9"/>
      <c r="AT791" s="9"/>
      <c r="AU791" s="9"/>
      <c r="AX791" s="9"/>
      <c r="AY791" s="9"/>
    </row>
    <row r="792" spans="17:51" ht="12.75">
      <c r="Q792" s="28"/>
      <c r="Y792" s="28"/>
      <c r="AE792" s="59"/>
      <c r="AH792" s="9"/>
      <c r="AI792" s="9"/>
      <c r="AL792" s="9"/>
      <c r="AM792" s="9"/>
      <c r="AP792" s="9"/>
      <c r="AQ792" s="9"/>
      <c r="AT792" s="9"/>
      <c r="AU792" s="9"/>
      <c r="AX792" s="9"/>
      <c r="AY792" s="9"/>
    </row>
    <row r="793" spans="17:51" ht="12.75">
      <c r="Q793" s="28"/>
      <c r="Y793" s="28"/>
      <c r="AE793" s="59"/>
      <c r="AH793" s="9"/>
      <c r="AI793" s="9"/>
      <c r="AL793" s="9"/>
      <c r="AM793" s="9"/>
      <c r="AP793" s="9"/>
      <c r="AQ793" s="9"/>
      <c r="AT793" s="9"/>
      <c r="AU793" s="9"/>
      <c r="AX793" s="9"/>
      <c r="AY793" s="9"/>
    </row>
    <row r="794" spans="17:51" ht="12.75">
      <c r="Q794" s="28"/>
      <c r="Y794" s="28"/>
      <c r="AE794" s="59"/>
      <c r="AH794" s="9"/>
      <c r="AI794" s="9"/>
      <c r="AL794" s="9"/>
      <c r="AM794" s="9"/>
      <c r="AP794" s="9"/>
      <c r="AQ794" s="9"/>
      <c r="AT794" s="9"/>
      <c r="AU794" s="9"/>
      <c r="AX794" s="9"/>
      <c r="AY794" s="9"/>
    </row>
    <row r="795" spans="17:51" ht="12.75">
      <c r="Q795" s="28"/>
      <c r="Y795" s="28"/>
      <c r="AE795" s="59"/>
      <c r="AH795" s="9"/>
      <c r="AI795" s="9"/>
      <c r="AL795" s="9"/>
      <c r="AM795" s="9"/>
      <c r="AP795" s="9"/>
      <c r="AQ795" s="9"/>
      <c r="AT795" s="9"/>
      <c r="AU795" s="9"/>
      <c r="AX795" s="9"/>
      <c r="AY795" s="9"/>
    </row>
    <row r="796" spans="17:51" ht="12.75">
      <c r="Q796" s="28"/>
      <c r="Y796" s="28"/>
      <c r="AE796" s="59"/>
      <c r="AH796" s="9"/>
      <c r="AI796" s="9"/>
      <c r="AL796" s="9"/>
      <c r="AM796" s="9"/>
      <c r="AP796" s="9"/>
      <c r="AQ796" s="9"/>
      <c r="AT796" s="9"/>
      <c r="AU796" s="9"/>
      <c r="AX796" s="9"/>
      <c r="AY796" s="9"/>
    </row>
    <row r="797" spans="17:51" ht="12.75">
      <c r="Q797" s="28"/>
      <c r="Y797" s="28"/>
      <c r="AE797" s="59"/>
      <c r="AH797" s="9"/>
      <c r="AI797" s="9"/>
      <c r="AL797" s="9"/>
      <c r="AM797" s="9"/>
      <c r="AP797" s="9"/>
      <c r="AQ797" s="9"/>
      <c r="AT797" s="9"/>
      <c r="AU797" s="9"/>
      <c r="AX797" s="9"/>
      <c r="AY797" s="9"/>
    </row>
    <row r="798" spans="17:51" ht="12.75">
      <c r="Q798" s="28"/>
      <c r="Y798" s="28"/>
      <c r="AE798" s="59"/>
      <c r="AH798" s="9"/>
      <c r="AI798" s="9"/>
      <c r="AL798" s="9"/>
      <c r="AM798" s="9"/>
      <c r="AP798" s="9"/>
      <c r="AQ798" s="9"/>
      <c r="AT798" s="9"/>
      <c r="AU798" s="9"/>
      <c r="AX798" s="9"/>
      <c r="AY798" s="9"/>
    </row>
    <row r="799" spans="17:51" ht="12.75">
      <c r="Q799" s="28"/>
      <c r="Y799" s="28"/>
      <c r="AE799" s="59"/>
      <c r="AH799" s="9"/>
      <c r="AI799" s="9"/>
      <c r="AL799" s="9"/>
      <c r="AM799" s="9"/>
      <c r="AP799" s="9"/>
      <c r="AQ799" s="9"/>
      <c r="AT799" s="9"/>
      <c r="AU799" s="9"/>
      <c r="AX799" s="9"/>
      <c r="AY799" s="9"/>
    </row>
    <row r="800" spans="17:51" ht="12.75">
      <c r="Q800" s="28"/>
      <c r="Y800" s="28"/>
      <c r="AE800" s="59"/>
      <c r="AH800" s="9"/>
      <c r="AI800" s="9"/>
      <c r="AL800" s="9"/>
      <c r="AM800" s="9"/>
      <c r="AP800" s="9"/>
      <c r="AQ800" s="9"/>
      <c r="AT800" s="9"/>
      <c r="AU800" s="9"/>
      <c r="AX800" s="9"/>
      <c r="AY800" s="9"/>
    </row>
    <row r="801" spans="17:51" ht="12.75">
      <c r="Q801" s="28"/>
      <c r="Y801" s="28"/>
      <c r="AE801" s="59"/>
      <c r="AH801" s="9"/>
      <c r="AI801" s="9"/>
      <c r="AL801" s="9"/>
      <c r="AM801" s="9"/>
      <c r="AP801" s="9"/>
      <c r="AQ801" s="9"/>
      <c r="AT801" s="9"/>
      <c r="AU801" s="9"/>
      <c r="AX801" s="9"/>
      <c r="AY801" s="9"/>
    </row>
    <row r="802" spans="17:51" ht="12.75">
      <c r="Q802" s="28"/>
      <c r="Y802" s="28"/>
      <c r="AE802" s="59"/>
      <c r="AH802" s="9"/>
      <c r="AI802" s="9"/>
      <c r="AL802" s="9"/>
      <c r="AM802" s="9"/>
      <c r="AP802" s="9"/>
      <c r="AQ802" s="9"/>
      <c r="AT802" s="9"/>
      <c r="AU802" s="9"/>
      <c r="AX802" s="9"/>
      <c r="AY802" s="9"/>
    </row>
    <row r="803" spans="17:51" ht="12.75">
      <c r="Q803" s="28"/>
      <c r="Y803" s="28"/>
      <c r="AE803" s="59"/>
      <c r="AH803" s="9"/>
      <c r="AI803" s="9"/>
      <c r="AL803" s="9"/>
      <c r="AM803" s="9"/>
      <c r="AP803" s="9"/>
      <c r="AQ803" s="9"/>
      <c r="AT803" s="9"/>
      <c r="AU803" s="9"/>
      <c r="AX803" s="9"/>
      <c r="AY803" s="9"/>
    </row>
    <row r="804" spans="17:51" ht="12.75">
      <c r="Q804" s="28"/>
      <c r="Y804" s="28"/>
      <c r="AE804" s="59"/>
      <c r="AH804" s="9"/>
      <c r="AI804" s="9"/>
      <c r="AL804" s="9"/>
      <c r="AM804" s="9"/>
      <c r="AP804" s="9"/>
      <c r="AQ804" s="9"/>
      <c r="AT804" s="9"/>
      <c r="AU804" s="9"/>
      <c r="AX804" s="9"/>
      <c r="AY804" s="9"/>
    </row>
    <row r="805" spans="17:51" ht="12.75">
      <c r="Q805" s="28"/>
      <c r="Y805" s="28"/>
      <c r="AE805" s="59"/>
      <c r="AH805" s="9"/>
      <c r="AI805" s="9"/>
      <c r="AL805" s="9"/>
      <c r="AM805" s="9"/>
      <c r="AP805" s="9"/>
      <c r="AQ805" s="9"/>
      <c r="AT805" s="9"/>
      <c r="AU805" s="9"/>
      <c r="AX805" s="9"/>
      <c r="AY805" s="9"/>
    </row>
    <row r="806" spans="17:51" ht="12.75">
      <c r="Q806" s="28"/>
      <c r="Y806" s="28"/>
      <c r="AE806" s="59"/>
      <c r="AH806" s="9"/>
      <c r="AI806" s="9"/>
      <c r="AL806" s="9"/>
      <c r="AM806" s="9"/>
      <c r="AP806" s="9"/>
      <c r="AQ806" s="9"/>
      <c r="AT806" s="9"/>
      <c r="AU806" s="9"/>
      <c r="AX806" s="9"/>
      <c r="AY806" s="9"/>
    </row>
    <row r="807" spans="17:51" ht="12.75">
      <c r="Q807" s="28"/>
      <c r="Y807" s="28"/>
      <c r="AE807" s="59"/>
      <c r="AH807" s="9"/>
      <c r="AI807" s="9"/>
      <c r="AL807" s="9"/>
      <c r="AM807" s="9"/>
      <c r="AP807" s="9"/>
      <c r="AQ807" s="9"/>
      <c r="AT807" s="9"/>
      <c r="AU807" s="9"/>
      <c r="AX807" s="9"/>
      <c r="AY807" s="9"/>
    </row>
    <row r="808" spans="17:51" ht="12.75">
      <c r="Q808" s="28"/>
      <c r="Y808" s="28"/>
      <c r="AE808" s="59"/>
      <c r="AH808" s="9"/>
      <c r="AI808" s="9"/>
      <c r="AL808" s="9"/>
      <c r="AM808" s="9"/>
      <c r="AP808" s="9"/>
      <c r="AQ808" s="9"/>
      <c r="AT808" s="9"/>
      <c r="AU808" s="9"/>
      <c r="AX808" s="9"/>
      <c r="AY808" s="9"/>
    </row>
    <row r="809" spans="17:51" ht="12.75">
      <c r="Q809" s="28"/>
      <c r="Y809" s="28"/>
      <c r="AE809" s="59"/>
      <c r="AH809" s="9"/>
      <c r="AI809" s="9"/>
      <c r="AL809" s="9"/>
      <c r="AM809" s="9"/>
      <c r="AP809" s="9"/>
      <c r="AQ809" s="9"/>
      <c r="AT809" s="9"/>
      <c r="AU809" s="9"/>
      <c r="AX809" s="9"/>
      <c r="AY809" s="9"/>
    </row>
    <row r="810" spans="17:51" ht="12.75">
      <c r="Q810" s="28"/>
      <c r="Y810" s="28"/>
      <c r="AE810" s="59"/>
      <c r="AH810" s="9"/>
      <c r="AI810" s="9"/>
      <c r="AL810" s="9"/>
      <c r="AM810" s="9"/>
      <c r="AP810" s="9"/>
      <c r="AQ810" s="9"/>
      <c r="AT810" s="9"/>
      <c r="AU810" s="9"/>
      <c r="AX810" s="9"/>
      <c r="AY810" s="9"/>
    </row>
    <row r="811" spans="17:51" ht="12.75">
      <c r="Q811" s="28"/>
      <c r="Y811" s="28"/>
      <c r="AE811" s="59"/>
      <c r="AH811" s="9"/>
      <c r="AI811" s="9"/>
      <c r="AL811" s="9"/>
      <c r="AM811" s="9"/>
      <c r="AP811" s="9"/>
      <c r="AQ811" s="9"/>
      <c r="AT811" s="9"/>
      <c r="AU811" s="9"/>
      <c r="AX811" s="9"/>
      <c r="AY811" s="9"/>
    </row>
    <row r="812" spans="17:51" ht="12.75">
      <c r="Q812" s="28"/>
      <c r="Y812" s="28"/>
      <c r="AE812" s="59"/>
      <c r="AH812" s="9"/>
      <c r="AI812" s="9"/>
      <c r="AL812" s="9"/>
      <c r="AM812" s="9"/>
      <c r="AP812" s="9"/>
      <c r="AQ812" s="9"/>
      <c r="AT812" s="9"/>
      <c r="AU812" s="9"/>
      <c r="AX812" s="9"/>
      <c r="AY812" s="9"/>
    </row>
    <row r="813" spans="17:51" ht="12.75">
      <c r="Q813" s="28"/>
      <c r="Y813" s="28"/>
      <c r="AE813" s="59"/>
      <c r="AH813" s="9"/>
      <c r="AI813" s="9"/>
      <c r="AL813" s="9"/>
      <c r="AM813" s="9"/>
      <c r="AP813" s="9"/>
      <c r="AQ813" s="9"/>
      <c r="AT813" s="9"/>
      <c r="AU813" s="9"/>
      <c r="AX813" s="9"/>
      <c r="AY813" s="9"/>
    </row>
    <row r="814" spans="17:51" ht="12.75">
      <c r="Q814" s="28"/>
      <c r="Y814" s="28"/>
      <c r="AE814" s="59"/>
      <c r="AH814" s="9"/>
      <c r="AI814" s="9"/>
      <c r="AL814" s="9"/>
      <c r="AM814" s="9"/>
      <c r="AP814" s="9"/>
      <c r="AQ814" s="9"/>
      <c r="AT814" s="9"/>
      <c r="AU814" s="9"/>
      <c r="AX814" s="9"/>
      <c r="AY814" s="9"/>
    </row>
    <row r="815" spans="17:51" ht="12.75">
      <c r="Q815" s="28"/>
      <c r="Y815" s="28"/>
      <c r="AE815" s="59"/>
      <c r="AH815" s="9"/>
      <c r="AI815" s="9"/>
      <c r="AL815" s="9"/>
      <c r="AM815" s="9"/>
      <c r="AP815" s="9"/>
      <c r="AQ815" s="9"/>
      <c r="AT815" s="9"/>
      <c r="AU815" s="9"/>
      <c r="AX815" s="9"/>
      <c r="AY815" s="9"/>
    </row>
    <row r="816" spans="17:51" ht="12.75">
      <c r="Q816" s="28"/>
      <c r="Y816" s="28"/>
      <c r="AE816" s="59"/>
      <c r="AH816" s="9"/>
      <c r="AI816" s="9"/>
      <c r="AL816" s="9"/>
      <c r="AM816" s="9"/>
      <c r="AP816" s="9"/>
      <c r="AQ816" s="9"/>
      <c r="AT816" s="9"/>
      <c r="AU816" s="9"/>
      <c r="AX816" s="9"/>
      <c r="AY816" s="9"/>
    </row>
    <row r="817" spans="17:51" ht="12.75">
      <c r="Q817" s="28"/>
      <c r="Y817" s="28"/>
      <c r="AE817" s="59"/>
      <c r="AH817" s="9"/>
      <c r="AI817" s="9"/>
      <c r="AL817" s="9"/>
      <c r="AM817" s="9"/>
      <c r="AP817" s="9"/>
      <c r="AQ817" s="9"/>
      <c r="AT817" s="9"/>
      <c r="AU817" s="9"/>
      <c r="AX817" s="9"/>
      <c r="AY817" s="9"/>
    </row>
    <row r="818" spans="17:51" ht="12.75">
      <c r="Q818" s="28"/>
      <c r="Y818" s="28"/>
      <c r="AE818" s="59"/>
      <c r="AH818" s="9"/>
      <c r="AI818" s="9"/>
      <c r="AL818" s="9"/>
      <c r="AM818" s="9"/>
      <c r="AP818" s="9"/>
      <c r="AQ818" s="9"/>
      <c r="AT818" s="9"/>
      <c r="AU818" s="9"/>
      <c r="AX818" s="9"/>
      <c r="AY818" s="9"/>
    </row>
    <row r="819" spans="17:51" ht="12.75">
      <c r="Q819" s="28"/>
      <c r="Y819" s="28"/>
      <c r="AE819" s="59"/>
      <c r="AH819" s="9"/>
      <c r="AI819" s="9"/>
      <c r="AL819" s="9"/>
      <c r="AM819" s="9"/>
      <c r="AP819" s="9"/>
      <c r="AQ819" s="9"/>
      <c r="AT819" s="9"/>
      <c r="AU819" s="9"/>
      <c r="AX819" s="9"/>
      <c r="AY819" s="9"/>
    </row>
    <row r="820" spans="17:51" ht="12.75">
      <c r="Q820" s="28"/>
      <c r="Y820" s="28"/>
      <c r="AE820" s="59"/>
      <c r="AH820" s="9"/>
      <c r="AI820" s="9"/>
      <c r="AL820" s="9"/>
      <c r="AM820" s="9"/>
      <c r="AP820" s="9"/>
      <c r="AQ820" s="9"/>
      <c r="AT820" s="9"/>
      <c r="AU820" s="9"/>
      <c r="AX820" s="9"/>
      <c r="AY820" s="9"/>
    </row>
    <row r="821" spans="17:51" ht="12.75">
      <c r="Q821" s="28"/>
      <c r="Y821" s="28"/>
      <c r="AE821" s="59"/>
      <c r="AH821" s="9"/>
      <c r="AI821" s="9"/>
      <c r="AL821" s="9"/>
      <c r="AM821" s="9"/>
      <c r="AP821" s="9"/>
      <c r="AQ821" s="9"/>
      <c r="AT821" s="9"/>
      <c r="AU821" s="9"/>
      <c r="AX821" s="9"/>
      <c r="AY821" s="9"/>
    </row>
    <row r="822" spans="17:51" ht="12.75">
      <c r="Q822" s="28"/>
      <c r="Y822" s="28"/>
      <c r="AE822" s="59"/>
      <c r="AH822" s="9"/>
      <c r="AI822" s="9"/>
      <c r="AL822" s="9"/>
      <c r="AM822" s="9"/>
      <c r="AP822" s="9"/>
      <c r="AQ822" s="9"/>
      <c r="AT822" s="9"/>
      <c r="AU822" s="9"/>
      <c r="AX822" s="9"/>
      <c r="AY822" s="9"/>
    </row>
    <row r="823" spans="17:51" ht="12.75">
      <c r="Q823" s="28"/>
      <c r="Y823" s="28"/>
      <c r="AE823" s="59"/>
      <c r="AH823" s="9"/>
      <c r="AI823" s="9"/>
      <c r="AL823" s="9"/>
      <c r="AM823" s="9"/>
      <c r="AP823" s="9"/>
      <c r="AQ823" s="9"/>
      <c r="AT823" s="9"/>
      <c r="AU823" s="9"/>
      <c r="AX823" s="9"/>
      <c r="AY823" s="9"/>
    </row>
    <row r="824" spans="17:51" ht="12.75">
      <c r="Q824" s="28"/>
      <c r="Y824" s="28"/>
      <c r="AE824" s="59"/>
      <c r="AH824" s="9"/>
      <c r="AI824" s="9"/>
      <c r="AL824" s="9"/>
      <c r="AM824" s="9"/>
      <c r="AP824" s="9"/>
      <c r="AQ824" s="9"/>
      <c r="AT824" s="9"/>
      <c r="AU824" s="9"/>
      <c r="AX824" s="9"/>
      <c r="AY824" s="9"/>
    </row>
    <row r="825" spans="17:51" ht="12.75">
      <c r="Q825" s="28"/>
      <c r="Y825" s="28"/>
      <c r="AE825" s="59"/>
      <c r="AH825" s="9"/>
      <c r="AI825" s="9"/>
      <c r="AL825" s="9"/>
      <c r="AM825" s="9"/>
      <c r="AP825" s="9"/>
      <c r="AQ825" s="9"/>
      <c r="AT825" s="9"/>
      <c r="AU825" s="9"/>
      <c r="AX825" s="9"/>
      <c r="AY825" s="9"/>
    </row>
    <row r="826" spans="17:51" ht="12.75">
      <c r="Q826" s="28"/>
      <c r="Y826" s="28"/>
      <c r="AE826" s="59"/>
      <c r="AH826" s="9"/>
      <c r="AI826" s="9"/>
      <c r="AL826" s="9"/>
      <c r="AM826" s="9"/>
      <c r="AP826" s="9"/>
      <c r="AQ826" s="9"/>
      <c r="AT826" s="9"/>
      <c r="AU826" s="9"/>
      <c r="AX826" s="9"/>
      <c r="AY826" s="9"/>
    </row>
    <row r="827" spans="17:51" ht="12.75">
      <c r="Q827" s="28"/>
      <c r="Y827" s="28"/>
      <c r="AE827" s="59"/>
      <c r="AH827" s="9"/>
      <c r="AI827" s="9"/>
      <c r="AL827" s="9"/>
      <c r="AM827" s="9"/>
      <c r="AP827" s="9"/>
      <c r="AQ827" s="9"/>
      <c r="AT827" s="9"/>
      <c r="AU827" s="9"/>
      <c r="AX827" s="9"/>
      <c r="AY827" s="9"/>
    </row>
    <row r="828" spans="17:51" ht="12.75">
      <c r="Q828" s="28"/>
      <c r="Y828" s="28"/>
      <c r="AE828" s="59"/>
      <c r="AH828" s="9"/>
      <c r="AI828" s="9"/>
      <c r="AL828" s="9"/>
      <c r="AM828" s="9"/>
      <c r="AP828" s="9"/>
      <c r="AQ828" s="9"/>
      <c r="AT828" s="9"/>
      <c r="AU828" s="9"/>
      <c r="AX828" s="9"/>
      <c r="AY828" s="9"/>
    </row>
    <row r="829" spans="17:51" ht="12.75">
      <c r="Q829" s="28"/>
      <c r="Y829" s="28"/>
      <c r="AE829" s="59"/>
      <c r="AH829" s="9"/>
      <c r="AI829" s="9"/>
      <c r="AL829" s="9"/>
      <c r="AM829" s="9"/>
      <c r="AP829" s="9"/>
      <c r="AQ829" s="9"/>
      <c r="AT829" s="9"/>
      <c r="AU829" s="9"/>
      <c r="AX829" s="9"/>
      <c r="AY829" s="9"/>
    </row>
    <row r="830" spans="17:51" ht="12.75">
      <c r="Q830" s="28"/>
      <c r="Y830" s="28"/>
      <c r="AE830" s="59"/>
      <c r="AH830" s="9"/>
      <c r="AI830" s="9"/>
      <c r="AL830" s="9"/>
      <c r="AM830" s="9"/>
      <c r="AP830" s="9"/>
      <c r="AQ830" s="9"/>
      <c r="AT830" s="9"/>
      <c r="AU830" s="9"/>
      <c r="AX830" s="9"/>
      <c r="AY830" s="9"/>
    </row>
    <row r="831" spans="17:51" ht="12.75">
      <c r="Q831" s="28"/>
      <c r="Y831" s="28"/>
      <c r="AE831" s="59"/>
      <c r="AH831" s="9"/>
      <c r="AI831" s="9"/>
      <c r="AL831" s="9"/>
      <c r="AM831" s="9"/>
      <c r="AP831" s="9"/>
      <c r="AQ831" s="9"/>
      <c r="AT831" s="9"/>
      <c r="AU831" s="9"/>
      <c r="AX831" s="9"/>
      <c r="AY831" s="9"/>
    </row>
    <row r="832" spans="17:51" ht="12.75">
      <c r="Q832" s="28"/>
      <c r="Y832" s="28"/>
      <c r="AE832" s="59"/>
      <c r="AH832" s="9"/>
      <c r="AI832" s="9"/>
      <c r="AL832" s="9"/>
      <c r="AM832" s="9"/>
      <c r="AP832" s="9"/>
      <c r="AQ832" s="9"/>
      <c r="AT832" s="9"/>
      <c r="AU832" s="9"/>
      <c r="AX832" s="9"/>
      <c r="AY832" s="9"/>
    </row>
    <row r="833" spans="17:51" ht="12.75">
      <c r="Q833" s="28"/>
      <c r="Y833" s="28"/>
      <c r="AE833" s="59"/>
      <c r="AH833" s="9"/>
      <c r="AI833" s="9"/>
      <c r="AL833" s="9"/>
      <c r="AM833" s="9"/>
      <c r="AP833" s="9"/>
      <c r="AQ833" s="9"/>
      <c r="AT833" s="9"/>
      <c r="AU833" s="9"/>
      <c r="AX833" s="9"/>
      <c r="AY833" s="9"/>
    </row>
    <row r="834" spans="17:51" ht="12.75">
      <c r="Q834" s="28"/>
      <c r="Y834" s="28"/>
      <c r="AE834" s="59"/>
      <c r="AH834" s="9"/>
      <c r="AI834" s="9"/>
      <c r="AL834" s="9"/>
      <c r="AM834" s="9"/>
      <c r="AP834" s="9"/>
      <c r="AQ834" s="9"/>
      <c r="AT834" s="9"/>
      <c r="AU834" s="9"/>
      <c r="AX834" s="9"/>
      <c r="AY834" s="9"/>
    </row>
    <row r="835" spans="17:51" ht="12.75">
      <c r="Q835" s="28"/>
      <c r="Y835" s="28"/>
      <c r="AE835" s="59"/>
      <c r="AH835" s="9"/>
      <c r="AI835" s="9"/>
      <c r="AL835" s="9"/>
      <c r="AM835" s="9"/>
      <c r="AP835" s="9"/>
      <c r="AQ835" s="9"/>
      <c r="AT835" s="9"/>
      <c r="AU835" s="9"/>
      <c r="AX835" s="9"/>
      <c r="AY835" s="9"/>
    </row>
    <row r="836" spans="17:51" ht="12.75">
      <c r="Q836" s="28"/>
      <c r="Y836" s="28"/>
      <c r="AE836" s="59"/>
      <c r="AH836" s="9"/>
      <c r="AI836" s="9"/>
      <c r="AL836" s="9"/>
      <c r="AM836" s="9"/>
      <c r="AP836" s="9"/>
      <c r="AQ836" s="9"/>
      <c r="AT836" s="9"/>
      <c r="AU836" s="9"/>
      <c r="AX836" s="9"/>
      <c r="AY836" s="9"/>
    </row>
    <row r="837" spans="17:51" ht="12.75">
      <c r="Q837" s="28"/>
      <c r="Y837" s="28"/>
      <c r="AE837" s="59"/>
      <c r="AH837" s="9"/>
      <c r="AI837" s="9"/>
      <c r="AL837" s="9"/>
      <c r="AM837" s="9"/>
      <c r="AP837" s="9"/>
      <c r="AQ837" s="9"/>
      <c r="AT837" s="9"/>
      <c r="AU837" s="9"/>
      <c r="AX837" s="9"/>
      <c r="AY837" s="9"/>
    </row>
    <row r="838" spans="17:51" ht="12.75">
      <c r="Q838" s="28"/>
      <c r="Y838" s="28"/>
      <c r="AE838" s="59"/>
      <c r="AH838" s="9"/>
      <c r="AI838" s="9"/>
      <c r="AL838" s="9"/>
      <c r="AM838" s="9"/>
      <c r="AP838" s="9"/>
      <c r="AQ838" s="9"/>
      <c r="AT838" s="9"/>
      <c r="AU838" s="9"/>
      <c r="AX838" s="9"/>
      <c r="AY838" s="9"/>
    </row>
    <row r="839" spans="17:51" ht="12.75">
      <c r="Q839" s="28"/>
      <c r="Y839" s="28"/>
      <c r="AE839" s="59"/>
      <c r="AH839" s="9"/>
      <c r="AI839" s="9"/>
      <c r="AL839" s="9"/>
      <c r="AM839" s="9"/>
      <c r="AP839" s="9"/>
      <c r="AQ839" s="9"/>
      <c r="AT839" s="9"/>
      <c r="AU839" s="9"/>
      <c r="AX839" s="9"/>
      <c r="AY839" s="9"/>
    </row>
    <row r="840" spans="17:51" ht="12.75">
      <c r="Q840" s="28"/>
      <c r="Y840" s="28"/>
      <c r="AE840" s="59"/>
      <c r="AH840" s="9"/>
      <c r="AI840" s="9"/>
      <c r="AL840" s="9"/>
      <c r="AM840" s="9"/>
      <c r="AP840" s="9"/>
      <c r="AQ840" s="9"/>
      <c r="AT840" s="9"/>
      <c r="AU840" s="9"/>
      <c r="AX840" s="9"/>
      <c r="AY840" s="9"/>
    </row>
    <row r="841" spans="17:51" ht="12.75">
      <c r="Q841" s="28"/>
      <c r="Y841" s="28"/>
      <c r="AE841" s="59"/>
      <c r="AH841" s="9"/>
      <c r="AI841" s="9"/>
      <c r="AL841" s="9"/>
      <c r="AM841" s="9"/>
      <c r="AP841" s="9"/>
      <c r="AQ841" s="9"/>
      <c r="AT841" s="9"/>
      <c r="AU841" s="9"/>
      <c r="AX841" s="9"/>
      <c r="AY841" s="9"/>
    </row>
    <row r="842" spans="17:51" ht="12.75">
      <c r="Q842" s="28"/>
      <c r="Y842" s="28"/>
      <c r="AE842" s="59"/>
      <c r="AH842" s="9"/>
      <c r="AI842" s="9"/>
      <c r="AL842" s="9"/>
      <c r="AM842" s="9"/>
      <c r="AP842" s="9"/>
      <c r="AQ842" s="9"/>
      <c r="AT842" s="9"/>
      <c r="AU842" s="9"/>
      <c r="AX842" s="9"/>
      <c r="AY842" s="9"/>
    </row>
    <row r="843" spans="17:51" ht="12.75">
      <c r="Q843" s="28"/>
      <c r="Y843" s="28"/>
      <c r="AE843" s="59"/>
      <c r="AH843" s="9"/>
      <c r="AI843" s="9"/>
      <c r="AL843" s="9"/>
      <c r="AM843" s="9"/>
      <c r="AP843" s="9"/>
      <c r="AQ843" s="9"/>
      <c r="AT843" s="9"/>
      <c r="AU843" s="9"/>
      <c r="AX843" s="9"/>
      <c r="AY843" s="9"/>
    </row>
    <row r="844" spans="17:51" ht="12.75">
      <c r="Q844" s="28"/>
      <c r="Y844" s="28"/>
      <c r="AE844" s="59"/>
      <c r="AH844" s="9"/>
      <c r="AI844" s="9"/>
      <c r="AL844" s="9"/>
      <c r="AM844" s="9"/>
      <c r="AP844" s="9"/>
      <c r="AQ844" s="9"/>
      <c r="AT844" s="9"/>
      <c r="AU844" s="9"/>
      <c r="AX844" s="9"/>
      <c r="AY844" s="9"/>
    </row>
    <row r="845" spans="17:51" ht="12.75">
      <c r="Q845" s="28"/>
      <c r="Y845" s="28"/>
      <c r="AE845" s="59"/>
      <c r="AH845" s="9"/>
      <c r="AI845" s="9"/>
      <c r="AL845" s="9"/>
      <c r="AM845" s="9"/>
      <c r="AP845" s="9"/>
      <c r="AQ845" s="9"/>
      <c r="AT845" s="9"/>
      <c r="AU845" s="9"/>
      <c r="AX845" s="9"/>
      <c r="AY845" s="9"/>
    </row>
    <row r="846" spans="17:51" ht="12.75">
      <c r="Q846" s="28"/>
      <c r="Y846" s="28"/>
      <c r="AE846" s="59"/>
      <c r="AH846" s="9"/>
      <c r="AI846" s="9"/>
      <c r="AL846" s="9"/>
      <c r="AM846" s="9"/>
      <c r="AP846" s="9"/>
      <c r="AQ846" s="9"/>
      <c r="AT846" s="9"/>
      <c r="AU846" s="9"/>
      <c r="AX846" s="9"/>
      <c r="AY846" s="9"/>
    </row>
    <row r="847" spans="17:51" ht="12.75">
      <c r="Q847" s="28"/>
      <c r="Y847" s="28"/>
      <c r="AE847" s="59"/>
      <c r="AH847" s="9"/>
      <c r="AI847" s="9"/>
      <c r="AL847" s="9"/>
      <c r="AM847" s="9"/>
      <c r="AP847" s="9"/>
      <c r="AQ847" s="9"/>
      <c r="AT847" s="9"/>
      <c r="AU847" s="9"/>
      <c r="AX847" s="9"/>
      <c r="AY847" s="9"/>
    </row>
    <row r="848" spans="17:51" ht="12.75">
      <c r="Q848" s="28"/>
      <c r="Y848" s="28"/>
      <c r="AE848" s="59"/>
      <c r="AH848" s="9"/>
      <c r="AI848" s="9"/>
      <c r="AL848" s="9"/>
      <c r="AM848" s="9"/>
      <c r="AP848" s="9"/>
      <c r="AQ848" s="9"/>
      <c r="AT848" s="9"/>
      <c r="AU848" s="9"/>
      <c r="AX848" s="9"/>
      <c r="AY848" s="9"/>
    </row>
    <row r="849" spans="17:51" ht="12.75">
      <c r="Q849" s="28"/>
      <c r="Y849" s="28"/>
      <c r="AE849" s="59"/>
      <c r="AH849" s="9"/>
      <c r="AI849" s="9"/>
      <c r="AL849" s="9"/>
      <c r="AM849" s="9"/>
      <c r="AP849" s="9"/>
      <c r="AQ849" s="9"/>
      <c r="AT849" s="9"/>
      <c r="AU849" s="9"/>
      <c r="AX849" s="9"/>
      <c r="AY849" s="9"/>
    </row>
    <row r="850" spans="17:51" ht="12.75">
      <c r="Q850" s="28"/>
      <c r="Y850" s="28"/>
      <c r="AE850" s="59"/>
      <c r="AH850" s="9"/>
      <c r="AI850" s="9"/>
      <c r="AL850" s="9"/>
      <c r="AM850" s="9"/>
      <c r="AP850" s="9"/>
      <c r="AQ850" s="9"/>
      <c r="AT850" s="9"/>
      <c r="AU850" s="9"/>
      <c r="AX850" s="9"/>
      <c r="AY850" s="9"/>
    </row>
    <row r="851" spans="17:51" ht="12.75">
      <c r="Q851" s="28"/>
      <c r="Y851" s="28"/>
      <c r="AE851" s="59"/>
      <c r="AH851" s="9"/>
      <c r="AI851" s="9"/>
      <c r="AL851" s="9"/>
      <c r="AM851" s="9"/>
      <c r="AP851" s="9"/>
      <c r="AQ851" s="9"/>
      <c r="AT851" s="9"/>
      <c r="AU851" s="9"/>
      <c r="AX851" s="9"/>
      <c r="AY851" s="9"/>
    </row>
    <row r="852" spans="17:51" ht="12.75">
      <c r="Q852" s="28"/>
      <c r="Y852" s="28"/>
      <c r="AE852" s="59"/>
      <c r="AH852" s="9"/>
      <c r="AI852" s="9"/>
      <c r="AL852" s="9"/>
      <c r="AM852" s="9"/>
      <c r="AP852" s="9"/>
      <c r="AQ852" s="9"/>
      <c r="AT852" s="9"/>
      <c r="AU852" s="9"/>
      <c r="AX852" s="9"/>
      <c r="AY852" s="9"/>
    </row>
    <row r="853" spans="17:51" ht="12.75">
      <c r="Q853" s="28"/>
      <c r="Y853" s="28"/>
      <c r="AE853" s="59"/>
      <c r="AH853" s="9"/>
      <c r="AI853" s="9"/>
      <c r="AL853" s="9"/>
      <c r="AM853" s="9"/>
      <c r="AP853" s="9"/>
      <c r="AQ853" s="9"/>
      <c r="AT853" s="9"/>
      <c r="AU853" s="9"/>
      <c r="AX853" s="9"/>
      <c r="AY853" s="9"/>
    </row>
    <row r="854" spans="17:51" ht="12.75">
      <c r="Q854" s="28"/>
      <c r="Y854" s="28"/>
      <c r="AE854" s="59"/>
      <c r="AH854" s="9"/>
      <c r="AI854" s="9"/>
      <c r="AL854" s="9"/>
      <c r="AM854" s="9"/>
      <c r="AP854" s="9"/>
      <c r="AQ854" s="9"/>
      <c r="AT854" s="9"/>
      <c r="AU854" s="9"/>
      <c r="AX854" s="9"/>
      <c r="AY854" s="9"/>
    </row>
    <row r="855" spans="17:51" ht="12.75">
      <c r="Q855" s="28"/>
      <c r="Y855" s="28"/>
      <c r="AE855" s="59"/>
      <c r="AH855" s="9"/>
      <c r="AI855" s="9"/>
      <c r="AL855" s="9"/>
      <c r="AM855" s="9"/>
      <c r="AP855" s="9"/>
      <c r="AQ855" s="9"/>
      <c r="AT855" s="9"/>
      <c r="AU855" s="9"/>
      <c r="AX855" s="9"/>
      <c r="AY855" s="9"/>
    </row>
    <row r="856" spans="17:51" ht="12.75">
      <c r="Q856" s="28"/>
      <c r="Y856" s="28"/>
      <c r="AE856" s="59"/>
      <c r="AH856" s="9"/>
      <c r="AI856" s="9"/>
      <c r="AL856" s="9"/>
      <c r="AM856" s="9"/>
      <c r="AP856" s="9"/>
      <c r="AQ856" s="9"/>
      <c r="AT856" s="9"/>
      <c r="AU856" s="9"/>
      <c r="AX856" s="9"/>
      <c r="AY856" s="9"/>
    </row>
    <row r="857" spans="17:51" ht="12.75">
      <c r="Q857" s="28"/>
      <c r="Y857" s="28"/>
      <c r="AE857" s="59"/>
      <c r="AH857" s="9"/>
      <c r="AI857" s="9"/>
      <c r="AL857" s="9"/>
      <c r="AM857" s="9"/>
      <c r="AP857" s="9"/>
      <c r="AQ857" s="9"/>
      <c r="AT857" s="9"/>
      <c r="AU857" s="9"/>
      <c r="AX857" s="9"/>
      <c r="AY857" s="9"/>
    </row>
    <row r="858" spans="17:51" ht="12.75">
      <c r="Q858" s="28"/>
      <c r="Y858" s="28"/>
      <c r="AE858" s="59"/>
      <c r="AH858" s="9"/>
      <c r="AI858" s="9"/>
      <c r="AL858" s="9"/>
      <c r="AM858" s="9"/>
      <c r="AP858" s="9"/>
      <c r="AQ858" s="9"/>
      <c r="AT858" s="9"/>
      <c r="AU858" s="9"/>
      <c r="AX858" s="9"/>
      <c r="AY858" s="9"/>
    </row>
    <row r="859" spans="17:51" ht="12.75">
      <c r="Q859" s="28"/>
      <c r="Y859" s="28"/>
      <c r="AE859" s="59"/>
      <c r="AH859" s="9"/>
      <c r="AI859" s="9"/>
      <c r="AL859" s="9"/>
      <c r="AM859" s="9"/>
      <c r="AP859" s="9"/>
      <c r="AQ859" s="9"/>
      <c r="AT859" s="9"/>
      <c r="AU859" s="9"/>
      <c r="AX859" s="9"/>
      <c r="AY859" s="9"/>
    </row>
    <row r="860" spans="17:51" ht="12.75">
      <c r="Q860" s="28"/>
      <c r="Y860" s="28"/>
      <c r="AE860" s="59"/>
      <c r="AH860" s="9"/>
      <c r="AI860" s="9"/>
      <c r="AL860" s="9"/>
      <c r="AM860" s="9"/>
      <c r="AP860" s="9"/>
      <c r="AQ860" s="9"/>
      <c r="AT860" s="9"/>
      <c r="AU860" s="9"/>
      <c r="AX860" s="9"/>
      <c r="AY860" s="9"/>
    </row>
    <row r="861" spans="17:51" ht="12.75">
      <c r="Q861" s="28"/>
      <c r="Y861" s="28"/>
      <c r="AE861" s="59"/>
      <c r="AH861" s="9"/>
      <c r="AI861" s="9"/>
      <c r="AL861" s="9"/>
      <c r="AM861" s="9"/>
      <c r="AP861" s="9"/>
      <c r="AQ861" s="9"/>
      <c r="AT861" s="9"/>
      <c r="AU861" s="9"/>
      <c r="AX861" s="9"/>
      <c r="AY861" s="9"/>
    </row>
    <row r="862" spans="17:51" ht="12.75">
      <c r="Q862" s="28"/>
      <c r="Y862" s="28"/>
      <c r="AE862" s="59"/>
      <c r="AH862" s="9"/>
      <c r="AI862" s="9"/>
      <c r="AL862" s="9"/>
      <c r="AM862" s="9"/>
      <c r="AP862" s="9"/>
      <c r="AQ862" s="9"/>
      <c r="AT862" s="9"/>
      <c r="AU862" s="9"/>
      <c r="AX862" s="9"/>
      <c r="AY862" s="9"/>
    </row>
    <row r="863" spans="17:51" ht="12.75">
      <c r="Q863" s="28"/>
      <c r="Y863" s="28"/>
      <c r="AE863" s="59"/>
      <c r="AH863" s="9"/>
      <c r="AI863" s="9"/>
      <c r="AL863" s="9"/>
      <c r="AM863" s="9"/>
      <c r="AP863" s="9"/>
      <c r="AQ863" s="9"/>
      <c r="AT863" s="9"/>
      <c r="AU863" s="9"/>
      <c r="AX863" s="9"/>
      <c r="AY863" s="9"/>
    </row>
    <row r="864" spans="17:51" ht="12.75">
      <c r="Q864" s="28"/>
      <c r="Y864" s="28"/>
      <c r="AE864" s="59"/>
      <c r="AH864" s="9"/>
      <c r="AI864" s="9"/>
      <c r="AL864" s="9"/>
      <c r="AM864" s="9"/>
      <c r="AP864" s="9"/>
      <c r="AQ864" s="9"/>
      <c r="AT864" s="9"/>
      <c r="AU864" s="9"/>
      <c r="AX864" s="9"/>
      <c r="AY864" s="9"/>
    </row>
    <row r="865" spans="17:51" ht="12.75">
      <c r="Q865" s="28"/>
      <c r="Y865" s="28"/>
      <c r="AE865" s="59"/>
      <c r="AH865" s="9"/>
      <c r="AI865" s="9"/>
      <c r="AL865" s="9"/>
      <c r="AM865" s="9"/>
      <c r="AP865" s="9"/>
      <c r="AQ865" s="9"/>
      <c r="AT865" s="9"/>
      <c r="AU865" s="9"/>
      <c r="AX865" s="9"/>
      <c r="AY865" s="9"/>
    </row>
    <row r="866" spans="17:51" ht="12.75">
      <c r="Q866" s="28"/>
      <c r="Y866" s="28"/>
      <c r="AE866" s="59"/>
      <c r="AH866" s="9"/>
      <c r="AI866" s="9"/>
      <c r="AL866" s="9"/>
      <c r="AM866" s="9"/>
      <c r="AP866" s="9"/>
      <c r="AQ866" s="9"/>
      <c r="AT866" s="9"/>
      <c r="AU866" s="9"/>
      <c r="AX866" s="9"/>
      <c r="AY866" s="9"/>
    </row>
    <row r="867" spans="17:51" ht="12.75">
      <c r="Q867" s="28"/>
      <c r="Y867" s="28"/>
      <c r="AE867" s="59"/>
      <c r="AH867" s="9"/>
      <c r="AI867" s="9"/>
      <c r="AL867" s="9"/>
      <c r="AM867" s="9"/>
      <c r="AP867" s="9"/>
      <c r="AQ867" s="9"/>
      <c r="AT867" s="9"/>
      <c r="AU867" s="9"/>
      <c r="AX867" s="9"/>
      <c r="AY867" s="9"/>
    </row>
    <row r="868" spans="17:51" ht="12.75">
      <c r="Q868" s="28"/>
      <c r="Y868" s="28"/>
      <c r="AE868" s="59"/>
      <c r="AH868" s="9"/>
      <c r="AI868" s="9"/>
      <c r="AL868" s="9"/>
      <c r="AM868" s="9"/>
      <c r="AP868" s="9"/>
      <c r="AQ868" s="9"/>
      <c r="AT868" s="9"/>
      <c r="AU868" s="9"/>
      <c r="AX868" s="9"/>
      <c r="AY868" s="9"/>
    </row>
    <row r="869" spans="17:51" ht="12.75">
      <c r="Q869" s="28"/>
      <c r="Y869" s="28"/>
      <c r="AE869" s="59"/>
      <c r="AH869" s="9"/>
      <c r="AI869" s="9"/>
      <c r="AL869" s="9"/>
      <c r="AM869" s="9"/>
      <c r="AP869" s="9"/>
      <c r="AQ869" s="9"/>
      <c r="AT869" s="9"/>
      <c r="AU869" s="9"/>
      <c r="AX869" s="9"/>
      <c r="AY869" s="9"/>
    </row>
    <row r="870" spans="17:51" ht="12.75">
      <c r="Q870" s="28"/>
      <c r="Y870" s="28"/>
      <c r="AE870" s="59"/>
      <c r="AH870" s="9"/>
      <c r="AI870" s="9"/>
      <c r="AL870" s="9"/>
      <c r="AM870" s="9"/>
      <c r="AP870" s="9"/>
      <c r="AQ870" s="9"/>
      <c r="AT870" s="9"/>
      <c r="AU870" s="9"/>
      <c r="AX870" s="9"/>
      <c r="AY870" s="9"/>
    </row>
    <row r="871" spans="17:51" ht="12.75">
      <c r="Q871" s="28"/>
      <c r="Y871" s="28"/>
      <c r="AE871" s="59"/>
      <c r="AH871" s="9"/>
      <c r="AI871" s="9"/>
      <c r="AL871" s="9"/>
      <c r="AM871" s="9"/>
      <c r="AP871" s="9"/>
      <c r="AQ871" s="9"/>
      <c r="AT871" s="9"/>
      <c r="AU871" s="9"/>
      <c r="AX871" s="9"/>
      <c r="AY871" s="9"/>
    </row>
    <row r="872" spans="17:51" ht="12.75">
      <c r="Q872" s="28"/>
      <c r="Y872" s="28"/>
      <c r="AE872" s="59"/>
      <c r="AH872" s="9"/>
      <c r="AI872" s="9"/>
      <c r="AL872" s="9"/>
      <c r="AM872" s="9"/>
      <c r="AP872" s="9"/>
      <c r="AQ872" s="9"/>
      <c r="AT872" s="9"/>
      <c r="AU872" s="9"/>
      <c r="AX872" s="9"/>
      <c r="AY872" s="9"/>
    </row>
    <row r="873" spans="17:51" ht="12.75">
      <c r="Q873" s="28"/>
      <c r="Y873" s="28"/>
      <c r="AE873" s="59"/>
      <c r="AH873" s="9"/>
      <c r="AI873" s="9"/>
      <c r="AL873" s="9"/>
      <c r="AM873" s="9"/>
      <c r="AP873" s="9"/>
      <c r="AQ873" s="9"/>
      <c r="AT873" s="9"/>
      <c r="AU873" s="9"/>
      <c r="AX873" s="9"/>
      <c r="AY873" s="9"/>
    </row>
    <row r="874" spans="17:51" ht="12.75">
      <c r="Q874" s="28"/>
      <c r="Y874" s="28"/>
      <c r="AE874" s="59"/>
      <c r="AH874" s="9"/>
      <c r="AI874" s="9"/>
      <c r="AL874" s="9"/>
      <c r="AM874" s="9"/>
      <c r="AP874" s="9"/>
      <c r="AQ874" s="9"/>
      <c r="AT874" s="9"/>
      <c r="AU874" s="9"/>
      <c r="AX874" s="9"/>
      <c r="AY874" s="9"/>
    </row>
    <row r="875" spans="17:51" ht="12.75">
      <c r="Q875" s="28"/>
      <c r="Y875" s="28"/>
      <c r="AE875" s="59"/>
      <c r="AH875" s="9"/>
      <c r="AI875" s="9"/>
      <c r="AL875" s="9"/>
      <c r="AM875" s="9"/>
      <c r="AP875" s="9"/>
      <c r="AQ875" s="9"/>
      <c r="AT875" s="9"/>
      <c r="AU875" s="9"/>
      <c r="AX875" s="9"/>
      <c r="AY875" s="9"/>
    </row>
    <row r="876" spans="17:51" ht="12.75">
      <c r="Q876" s="28"/>
      <c r="Y876" s="28"/>
      <c r="AE876" s="59"/>
      <c r="AH876" s="9"/>
      <c r="AI876" s="9"/>
      <c r="AL876" s="9"/>
      <c r="AM876" s="9"/>
      <c r="AP876" s="9"/>
      <c r="AQ876" s="9"/>
      <c r="AT876" s="9"/>
      <c r="AU876" s="9"/>
      <c r="AX876" s="9"/>
      <c r="AY876" s="9"/>
    </row>
    <row r="877" spans="17:51" ht="12.75">
      <c r="Q877" s="28"/>
      <c r="Y877" s="28"/>
      <c r="AE877" s="59"/>
      <c r="AH877" s="9"/>
      <c r="AI877" s="9"/>
      <c r="AL877" s="9"/>
      <c r="AM877" s="9"/>
      <c r="AP877" s="9"/>
      <c r="AQ877" s="9"/>
      <c r="AT877" s="9"/>
      <c r="AU877" s="9"/>
      <c r="AX877" s="9"/>
      <c r="AY877" s="9"/>
    </row>
    <row r="878" spans="17:51" ht="12.75">
      <c r="Q878" s="28"/>
      <c r="Y878" s="28"/>
      <c r="AE878" s="59"/>
      <c r="AH878" s="9"/>
      <c r="AI878" s="9"/>
      <c r="AL878" s="9"/>
      <c r="AM878" s="9"/>
      <c r="AP878" s="9"/>
      <c r="AQ878" s="9"/>
      <c r="AT878" s="9"/>
      <c r="AU878" s="9"/>
      <c r="AX878" s="9"/>
      <c r="AY878" s="9"/>
    </row>
    <row r="879" spans="17:51" ht="12.75">
      <c r="Q879" s="28"/>
      <c r="Y879" s="28"/>
      <c r="AE879" s="59"/>
      <c r="AH879" s="9"/>
      <c r="AI879" s="9"/>
      <c r="AL879" s="9"/>
      <c r="AM879" s="9"/>
      <c r="AP879" s="9"/>
      <c r="AQ879" s="9"/>
      <c r="AT879" s="9"/>
      <c r="AU879" s="9"/>
      <c r="AX879" s="9"/>
      <c r="AY879" s="9"/>
    </row>
    <row r="880" spans="17:51" ht="12.75">
      <c r="Q880" s="28"/>
      <c r="Y880" s="28"/>
      <c r="AE880" s="59"/>
      <c r="AH880" s="9"/>
      <c r="AI880" s="9"/>
      <c r="AL880" s="9"/>
      <c r="AM880" s="9"/>
      <c r="AP880" s="9"/>
      <c r="AQ880" s="9"/>
      <c r="AT880" s="9"/>
      <c r="AU880" s="9"/>
      <c r="AX880" s="9"/>
      <c r="AY880" s="9"/>
    </row>
    <row r="881" spans="17:51" ht="12.75">
      <c r="Q881" s="28"/>
      <c r="Y881" s="28"/>
      <c r="AE881" s="59"/>
      <c r="AH881" s="9"/>
      <c r="AI881" s="9"/>
      <c r="AL881" s="9"/>
      <c r="AM881" s="9"/>
      <c r="AP881" s="9"/>
      <c r="AQ881" s="9"/>
      <c r="AT881" s="9"/>
      <c r="AU881" s="9"/>
      <c r="AX881" s="9"/>
      <c r="AY881" s="9"/>
    </row>
    <row r="882" spans="17:51" ht="12.75">
      <c r="Q882" s="28"/>
      <c r="Y882" s="28"/>
      <c r="AE882" s="59"/>
      <c r="AH882" s="9"/>
      <c r="AI882" s="9"/>
      <c r="AL882" s="9"/>
      <c r="AM882" s="9"/>
      <c r="AP882" s="9"/>
      <c r="AQ882" s="9"/>
      <c r="AT882" s="9"/>
      <c r="AU882" s="9"/>
      <c r="AX882" s="9"/>
      <c r="AY882" s="9"/>
    </row>
    <row r="883" spans="17:51" ht="12.75">
      <c r="Q883" s="28"/>
      <c r="Y883" s="28"/>
      <c r="AE883" s="59"/>
      <c r="AH883" s="9"/>
      <c r="AI883" s="9"/>
      <c r="AL883" s="9"/>
      <c r="AM883" s="9"/>
      <c r="AP883" s="9"/>
      <c r="AQ883" s="9"/>
      <c r="AT883" s="9"/>
      <c r="AU883" s="9"/>
      <c r="AX883" s="9"/>
      <c r="AY883" s="9"/>
    </row>
    <row r="884" spans="17:51" ht="12.75">
      <c r="Q884" s="28"/>
      <c r="Y884" s="28"/>
      <c r="AE884" s="59"/>
      <c r="AH884" s="9"/>
      <c r="AI884" s="9"/>
      <c r="AL884" s="9"/>
      <c r="AM884" s="9"/>
      <c r="AP884" s="9"/>
      <c r="AQ884" s="9"/>
      <c r="AT884" s="9"/>
      <c r="AU884" s="9"/>
      <c r="AX884" s="9"/>
      <c r="AY884" s="9"/>
    </row>
    <row r="885" spans="17:51" ht="12.75">
      <c r="Q885" s="28"/>
      <c r="Y885" s="28"/>
      <c r="AE885" s="59"/>
      <c r="AH885" s="9"/>
      <c r="AI885" s="9"/>
      <c r="AL885" s="9"/>
      <c r="AM885" s="9"/>
      <c r="AP885" s="9"/>
      <c r="AQ885" s="9"/>
      <c r="AT885" s="9"/>
      <c r="AU885" s="9"/>
      <c r="AX885" s="9"/>
      <c r="AY885" s="9"/>
    </row>
    <row r="886" spans="17:51" ht="12.75">
      <c r="Q886" s="28"/>
      <c r="Y886" s="28"/>
      <c r="AE886" s="59"/>
      <c r="AH886" s="9"/>
      <c r="AI886" s="9"/>
      <c r="AL886" s="9"/>
      <c r="AM886" s="9"/>
      <c r="AP886" s="9"/>
      <c r="AQ886" s="9"/>
      <c r="AT886" s="9"/>
      <c r="AU886" s="9"/>
      <c r="AX886" s="9"/>
      <c r="AY886" s="9"/>
    </row>
    <row r="887" spans="17:51" ht="12.75">
      <c r="Q887" s="28"/>
      <c r="Y887" s="28"/>
      <c r="AE887" s="59"/>
      <c r="AH887" s="9"/>
      <c r="AI887" s="9"/>
      <c r="AL887" s="9"/>
      <c r="AM887" s="9"/>
      <c r="AP887" s="9"/>
      <c r="AQ887" s="9"/>
      <c r="AT887" s="9"/>
      <c r="AU887" s="9"/>
      <c r="AX887" s="9"/>
      <c r="AY887" s="9"/>
    </row>
    <row r="888" spans="17:51" ht="12.75">
      <c r="Q888" s="28"/>
      <c r="Y888" s="28"/>
      <c r="AE888" s="59"/>
      <c r="AH888" s="9"/>
      <c r="AI888" s="9"/>
      <c r="AL888" s="9"/>
      <c r="AM888" s="9"/>
      <c r="AP888" s="9"/>
      <c r="AQ888" s="9"/>
      <c r="AT888" s="9"/>
      <c r="AU888" s="9"/>
      <c r="AX888" s="9"/>
      <c r="AY888" s="9"/>
    </row>
    <row r="889" spans="17:51" ht="12.75">
      <c r="Q889" s="28"/>
      <c r="Y889" s="28"/>
      <c r="AE889" s="59"/>
      <c r="AH889" s="9"/>
      <c r="AI889" s="9"/>
      <c r="AL889" s="9"/>
      <c r="AM889" s="9"/>
      <c r="AP889" s="9"/>
      <c r="AQ889" s="9"/>
      <c r="AT889" s="9"/>
      <c r="AU889" s="9"/>
      <c r="AX889" s="9"/>
      <c r="AY889" s="9"/>
    </row>
    <row r="890" spans="17:51" ht="12.75">
      <c r="Q890" s="28"/>
      <c r="Y890" s="28"/>
      <c r="AE890" s="59"/>
      <c r="AH890" s="9"/>
      <c r="AI890" s="9"/>
      <c r="AL890" s="9"/>
      <c r="AM890" s="9"/>
      <c r="AP890" s="9"/>
      <c r="AQ890" s="9"/>
      <c r="AT890" s="9"/>
      <c r="AU890" s="9"/>
      <c r="AX890" s="9"/>
      <c r="AY890" s="9"/>
    </row>
    <row r="891" spans="17:51" ht="12.75">
      <c r="Q891" s="28"/>
      <c r="Y891" s="28"/>
      <c r="AE891" s="59"/>
      <c r="AH891" s="9"/>
      <c r="AI891" s="9"/>
      <c r="AL891" s="9"/>
      <c r="AM891" s="9"/>
      <c r="AP891" s="9"/>
      <c r="AQ891" s="9"/>
      <c r="AT891" s="9"/>
      <c r="AU891" s="9"/>
      <c r="AX891" s="9"/>
      <c r="AY891" s="9"/>
    </row>
    <row r="892" spans="17:51" ht="12.75">
      <c r="Q892" s="28"/>
      <c r="Y892" s="28"/>
      <c r="AE892" s="59"/>
      <c r="AH892" s="9"/>
      <c r="AI892" s="9"/>
      <c r="AL892" s="9"/>
      <c r="AM892" s="9"/>
      <c r="AP892" s="9"/>
      <c r="AQ892" s="9"/>
      <c r="AT892" s="9"/>
      <c r="AU892" s="9"/>
      <c r="AX892" s="9"/>
      <c r="AY892" s="9"/>
    </row>
    <row r="893" spans="17:51" ht="12.75">
      <c r="Q893" s="28"/>
      <c r="Y893" s="28"/>
      <c r="AE893" s="59"/>
      <c r="AH893" s="9"/>
      <c r="AI893" s="9"/>
      <c r="AL893" s="9"/>
      <c r="AM893" s="9"/>
      <c r="AP893" s="9"/>
      <c r="AQ893" s="9"/>
      <c r="AT893" s="9"/>
      <c r="AU893" s="9"/>
      <c r="AX893" s="9"/>
      <c r="AY893" s="9"/>
    </row>
    <row r="894" spans="17:51" ht="12.75">
      <c r="Q894" s="28"/>
      <c r="Y894" s="28"/>
      <c r="AE894" s="59"/>
      <c r="AH894" s="9"/>
      <c r="AI894" s="9"/>
      <c r="AL894" s="9"/>
      <c r="AM894" s="9"/>
      <c r="AP894" s="9"/>
      <c r="AQ894" s="9"/>
      <c r="AT894" s="9"/>
      <c r="AU894" s="9"/>
      <c r="AX894" s="9"/>
      <c r="AY894" s="9"/>
    </row>
    <row r="895" spans="17:51" ht="12.75">
      <c r="Q895" s="28"/>
      <c r="Y895" s="28"/>
      <c r="AE895" s="59"/>
      <c r="AH895" s="9"/>
      <c r="AI895" s="9"/>
      <c r="AL895" s="9"/>
      <c r="AM895" s="9"/>
      <c r="AP895" s="9"/>
      <c r="AQ895" s="9"/>
      <c r="AT895" s="9"/>
      <c r="AU895" s="9"/>
      <c r="AX895" s="9"/>
      <c r="AY895" s="9"/>
    </row>
    <row r="896" spans="17:51" ht="12.75">
      <c r="Q896" s="28"/>
      <c r="Y896" s="28"/>
      <c r="AE896" s="59"/>
      <c r="AH896" s="9"/>
      <c r="AI896" s="9"/>
      <c r="AL896" s="9"/>
      <c r="AM896" s="9"/>
      <c r="AP896" s="9"/>
      <c r="AQ896" s="9"/>
      <c r="AT896" s="9"/>
      <c r="AU896" s="9"/>
      <c r="AX896" s="9"/>
      <c r="AY896" s="9"/>
    </row>
    <row r="897" spans="17:51" ht="12.75">
      <c r="Q897" s="28"/>
      <c r="Y897" s="28"/>
      <c r="AE897" s="59"/>
      <c r="AH897" s="9"/>
      <c r="AI897" s="9"/>
      <c r="AL897" s="9"/>
      <c r="AM897" s="9"/>
      <c r="AP897" s="9"/>
      <c r="AQ897" s="9"/>
      <c r="AT897" s="9"/>
      <c r="AU897" s="9"/>
      <c r="AX897" s="9"/>
      <c r="AY897" s="9"/>
    </row>
    <row r="898" spans="17:51" ht="12.75">
      <c r="Q898" s="28"/>
      <c r="Y898" s="28"/>
      <c r="AE898" s="59"/>
      <c r="AH898" s="9"/>
      <c r="AI898" s="9"/>
      <c r="AL898" s="9"/>
      <c r="AM898" s="9"/>
      <c r="AP898" s="9"/>
      <c r="AQ898" s="9"/>
      <c r="AT898" s="9"/>
      <c r="AU898" s="9"/>
      <c r="AX898" s="9"/>
      <c r="AY898" s="9"/>
    </row>
    <row r="899" spans="17:51" ht="12.75">
      <c r="Q899" s="28"/>
      <c r="Y899" s="28"/>
      <c r="AE899" s="59"/>
      <c r="AH899" s="9"/>
      <c r="AI899" s="9"/>
      <c r="AL899" s="9"/>
      <c r="AM899" s="9"/>
      <c r="AP899" s="9"/>
      <c r="AQ899" s="9"/>
      <c r="AT899" s="9"/>
      <c r="AU899" s="9"/>
      <c r="AX899" s="9"/>
      <c r="AY899" s="9"/>
    </row>
    <row r="900" spans="17:51" ht="12.75">
      <c r="Q900" s="28"/>
      <c r="Y900" s="28"/>
      <c r="AE900" s="59"/>
      <c r="AH900" s="9"/>
      <c r="AI900" s="9"/>
      <c r="AL900" s="9"/>
      <c r="AM900" s="9"/>
      <c r="AP900" s="9"/>
      <c r="AQ900" s="9"/>
      <c r="AT900" s="9"/>
      <c r="AU900" s="9"/>
      <c r="AX900" s="9"/>
      <c r="AY900" s="9"/>
    </row>
    <row r="901" spans="17:51" ht="12.75">
      <c r="Q901" s="28"/>
      <c r="Y901" s="28"/>
      <c r="AE901" s="59"/>
      <c r="AH901" s="9"/>
      <c r="AI901" s="9"/>
      <c r="AL901" s="9"/>
      <c r="AM901" s="9"/>
      <c r="AP901" s="9"/>
      <c r="AQ901" s="9"/>
      <c r="AT901" s="9"/>
      <c r="AU901" s="9"/>
      <c r="AX901" s="9"/>
      <c r="AY901" s="9"/>
    </row>
    <row r="902" spans="17:51" ht="12.75">
      <c r="Q902" s="28"/>
      <c r="Y902" s="28"/>
      <c r="AE902" s="59"/>
      <c r="AH902" s="9"/>
      <c r="AI902" s="9"/>
      <c r="AL902" s="9"/>
      <c r="AM902" s="9"/>
      <c r="AP902" s="9"/>
      <c r="AQ902" s="9"/>
      <c r="AT902" s="9"/>
      <c r="AU902" s="9"/>
      <c r="AX902" s="9"/>
      <c r="AY902" s="9"/>
    </row>
    <row r="903" spans="17:51" ht="12.75">
      <c r="Q903" s="28"/>
      <c r="Y903" s="28"/>
      <c r="AE903" s="59"/>
      <c r="AH903" s="9"/>
      <c r="AI903" s="9"/>
      <c r="AL903" s="9"/>
      <c r="AM903" s="9"/>
      <c r="AP903" s="9"/>
      <c r="AQ903" s="9"/>
      <c r="AT903" s="9"/>
      <c r="AU903" s="9"/>
      <c r="AX903" s="9"/>
      <c r="AY903" s="9"/>
    </row>
    <row r="904" spans="17:51" ht="12.75">
      <c r="Q904" s="28"/>
      <c r="Y904" s="28"/>
      <c r="AE904" s="59"/>
      <c r="AH904" s="9"/>
      <c r="AI904" s="9"/>
      <c r="AL904" s="9"/>
      <c r="AM904" s="9"/>
      <c r="AP904" s="9"/>
      <c r="AQ904" s="9"/>
      <c r="AT904" s="9"/>
      <c r="AU904" s="9"/>
      <c r="AX904" s="9"/>
      <c r="AY904" s="9"/>
    </row>
    <row r="905" spans="17:51" ht="12.75">
      <c r="Q905" s="28"/>
      <c r="Y905" s="28"/>
      <c r="AE905" s="59"/>
      <c r="AH905" s="9"/>
      <c r="AI905" s="9"/>
      <c r="AL905" s="9"/>
      <c r="AM905" s="9"/>
      <c r="AP905" s="9"/>
      <c r="AQ905" s="9"/>
      <c r="AT905" s="9"/>
      <c r="AU905" s="9"/>
      <c r="AX905" s="9"/>
      <c r="AY905" s="9"/>
    </row>
    <row r="906" spans="17:51" ht="12.75">
      <c r="Q906" s="28"/>
      <c r="Y906" s="28"/>
      <c r="AE906" s="59"/>
      <c r="AH906" s="9"/>
      <c r="AI906" s="9"/>
      <c r="AL906" s="9"/>
      <c r="AM906" s="9"/>
      <c r="AP906" s="9"/>
      <c r="AQ906" s="9"/>
      <c r="AT906" s="9"/>
      <c r="AU906" s="9"/>
      <c r="AX906" s="9"/>
      <c r="AY906" s="9"/>
    </row>
    <row r="907" spans="17:51" ht="12.75">
      <c r="Q907" s="28"/>
      <c r="Y907" s="28"/>
      <c r="AE907" s="59"/>
      <c r="AH907" s="9"/>
      <c r="AI907" s="9"/>
      <c r="AL907" s="9"/>
      <c r="AM907" s="9"/>
      <c r="AP907" s="9"/>
      <c r="AQ907" s="9"/>
      <c r="AT907" s="9"/>
      <c r="AU907" s="9"/>
      <c r="AX907" s="9"/>
      <c r="AY907" s="9"/>
    </row>
    <row r="908" spans="17:51" ht="12.75">
      <c r="Q908" s="28"/>
      <c r="Y908" s="28"/>
      <c r="AE908" s="59"/>
      <c r="AH908" s="9"/>
      <c r="AI908" s="9"/>
      <c r="AL908" s="9"/>
      <c r="AM908" s="9"/>
      <c r="AP908" s="9"/>
      <c r="AQ908" s="9"/>
      <c r="AT908" s="9"/>
      <c r="AU908" s="9"/>
      <c r="AX908" s="9"/>
      <c r="AY908" s="9"/>
    </row>
    <row r="909" spans="17:51" ht="12.75">
      <c r="Q909" s="28"/>
      <c r="Y909" s="28"/>
      <c r="AE909" s="59"/>
      <c r="AH909" s="9"/>
      <c r="AI909" s="9"/>
      <c r="AL909" s="9"/>
      <c r="AM909" s="9"/>
      <c r="AP909" s="9"/>
      <c r="AQ909" s="9"/>
      <c r="AT909" s="9"/>
      <c r="AU909" s="9"/>
      <c r="AX909" s="9"/>
      <c r="AY909" s="9"/>
    </row>
    <row r="910" spans="17:51" ht="12.75">
      <c r="Q910" s="28"/>
      <c r="Y910" s="28"/>
      <c r="AE910" s="59"/>
      <c r="AH910" s="9"/>
      <c r="AI910" s="9"/>
      <c r="AL910" s="9"/>
      <c r="AM910" s="9"/>
      <c r="AP910" s="9"/>
      <c r="AQ910" s="9"/>
      <c r="AT910" s="9"/>
      <c r="AU910" s="9"/>
      <c r="AX910" s="9"/>
      <c r="AY910" s="9"/>
    </row>
    <row r="911" spans="17:51" ht="12.75">
      <c r="Q911" s="28"/>
      <c r="Y911" s="28"/>
      <c r="AE911" s="59"/>
      <c r="AH911" s="9"/>
      <c r="AI911" s="9"/>
      <c r="AL911" s="9"/>
      <c r="AM911" s="9"/>
      <c r="AP911" s="9"/>
      <c r="AQ911" s="9"/>
      <c r="AT911" s="9"/>
      <c r="AU911" s="9"/>
      <c r="AX911" s="9"/>
      <c r="AY911" s="9"/>
    </row>
    <row r="912" spans="17:51" ht="12.75">
      <c r="Q912" s="28"/>
      <c r="Y912" s="28"/>
      <c r="AE912" s="59"/>
      <c r="AH912" s="9"/>
      <c r="AI912" s="9"/>
      <c r="AL912" s="9"/>
      <c r="AM912" s="9"/>
      <c r="AP912" s="9"/>
      <c r="AQ912" s="9"/>
      <c r="AT912" s="9"/>
      <c r="AU912" s="9"/>
      <c r="AX912" s="9"/>
      <c r="AY912" s="9"/>
    </row>
    <row r="913" spans="17:51" ht="12.75">
      <c r="Q913" s="28"/>
      <c r="Y913" s="28"/>
      <c r="AE913" s="59"/>
      <c r="AH913" s="9"/>
      <c r="AI913" s="9"/>
      <c r="AL913" s="9"/>
      <c r="AM913" s="9"/>
      <c r="AP913" s="9"/>
      <c r="AQ913" s="9"/>
      <c r="AT913" s="9"/>
      <c r="AU913" s="9"/>
      <c r="AX913" s="9"/>
      <c r="AY913" s="9"/>
    </row>
    <row r="914" spans="17:51" ht="12.75">
      <c r="Q914" s="28"/>
      <c r="Y914" s="28"/>
      <c r="AE914" s="59"/>
      <c r="AH914" s="9"/>
      <c r="AI914" s="9"/>
      <c r="AL914" s="9"/>
      <c r="AM914" s="9"/>
      <c r="AP914" s="9"/>
      <c r="AQ914" s="9"/>
      <c r="AT914" s="9"/>
      <c r="AU914" s="9"/>
      <c r="AX914" s="9"/>
      <c r="AY914" s="9"/>
    </row>
    <row r="915" spans="17:51" ht="12.75">
      <c r="Q915" s="28"/>
      <c r="Y915" s="28"/>
      <c r="AE915" s="59"/>
      <c r="AH915" s="9"/>
      <c r="AI915" s="9"/>
      <c r="AL915" s="9"/>
      <c r="AM915" s="9"/>
      <c r="AP915" s="9"/>
      <c r="AQ915" s="9"/>
      <c r="AT915" s="9"/>
      <c r="AU915" s="9"/>
      <c r="AX915" s="9"/>
      <c r="AY915" s="9"/>
    </row>
    <row r="916" spans="17:51" ht="12.75">
      <c r="Q916" s="28"/>
      <c r="Y916" s="28"/>
      <c r="AE916" s="59"/>
      <c r="AH916" s="9"/>
      <c r="AI916" s="9"/>
      <c r="AL916" s="9"/>
      <c r="AM916" s="9"/>
      <c r="AP916" s="9"/>
      <c r="AQ916" s="9"/>
      <c r="AT916" s="9"/>
      <c r="AU916" s="9"/>
      <c r="AX916" s="9"/>
      <c r="AY916" s="9"/>
    </row>
    <row r="917" spans="17:51" ht="12.75">
      <c r="Q917" s="28"/>
      <c r="Y917" s="28"/>
      <c r="AE917" s="59"/>
      <c r="AH917" s="9"/>
      <c r="AI917" s="9"/>
      <c r="AL917" s="9"/>
      <c r="AM917" s="9"/>
      <c r="AP917" s="9"/>
      <c r="AQ917" s="9"/>
      <c r="AT917" s="9"/>
      <c r="AU917" s="9"/>
      <c r="AX917" s="9"/>
      <c r="AY917" s="9"/>
    </row>
    <row r="918" spans="17:51" ht="12.75">
      <c r="Q918" s="28"/>
      <c r="Y918" s="28"/>
      <c r="AE918" s="59"/>
      <c r="AH918" s="9"/>
      <c r="AI918" s="9"/>
      <c r="AL918" s="9"/>
      <c r="AM918" s="9"/>
      <c r="AP918" s="9"/>
      <c r="AQ918" s="9"/>
      <c r="AT918" s="9"/>
      <c r="AU918" s="9"/>
      <c r="AX918" s="9"/>
      <c r="AY918" s="9"/>
    </row>
    <row r="919" spans="17:51" ht="12.75">
      <c r="Q919" s="28"/>
      <c r="Y919" s="28"/>
      <c r="AE919" s="59"/>
      <c r="AH919" s="9"/>
      <c r="AI919" s="9"/>
      <c r="AL919" s="9"/>
      <c r="AM919" s="9"/>
      <c r="AP919" s="9"/>
      <c r="AQ919" s="9"/>
      <c r="AT919" s="9"/>
      <c r="AU919" s="9"/>
      <c r="AX919" s="9"/>
      <c r="AY919" s="9"/>
    </row>
    <row r="920" spans="17:51" ht="12.75">
      <c r="Q920" s="28"/>
      <c r="Y920" s="28"/>
      <c r="AE920" s="59"/>
      <c r="AH920" s="9"/>
      <c r="AI920" s="9"/>
      <c r="AL920" s="9"/>
      <c r="AM920" s="9"/>
      <c r="AP920" s="9"/>
      <c r="AQ920" s="9"/>
      <c r="AT920" s="9"/>
      <c r="AU920" s="9"/>
      <c r="AX920" s="9"/>
      <c r="AY920" s="9"/>
    </row>
    <row r="921" spans="17:51" ht="12.75">
      <c r="Q921" s="28"/>
      <c r="Y921" s="28"/>
      <c r="AE921" s="59"/>
      <c r="AH921" s="9"/>
      <c r="AI921" s="9"/>
      <c r="AL921" s="9"/>
      <c r="AM921" s="9"/>
      <c r="AP921" s="9"/>
      <c r="AQ921" s="9"/>
      <c r="AT921" s="9"/>
      <c r="AU921" s="9"/>
      <c r="AX921" s="9"/>
      <c r="AY921" s="9"/>
    </row>
    <row r="922" spans="17:51" ht="12.75">
      <c r="Q922" s="28"/>
      <c r="Y922" s="28"/>
      <c r="AE922" s="59"/>
      <c r="AH922" s="9"/>
      <c r="AI922" s="9"/>
      <c r="AL922" s="9"/>
      <c r="AM922" s="9"/>
      <c r="AP922" s="9"/>
      <c r="AQ922" s="9"/>
      <c r="AT922" s="9"/>
      <c r="AU922" s="9"/>
      <c r="AX922" s="9"/>
      <c r="AY922" s="9"/>
    </row>
    <row r="923" spans="17:51" ht="12.75">
      <c r="Q923" s="28"/>
      <c r="Y923" s="28"/>
      <c r="AE923" s="59"/>
      <c r="AH923" s="9"/>
      <c r="AI923" s="9"/>
      <c r="AL923" s="9"/>
      <c r="AM923" s="9"/>
      <c r="AP923" s="9"/>
      <c r="AQ923" s="9"/>
      <c r="AT923" s="9"/>
      <c r="AU923" s="9"/>
      <c r="AX923" s="9"/>
      <c r="AY923" s="9"/>
    </row>
    <row r="924" spans="17:51" ht="12.75">
      <c r="Q924" s="28"/>
      <c r="Y924" s="28"/>
      <c r="AE924" s="59"/>
      <c r="AH924" s="9"/>
      <c r="AI924" s="9"/>
      <c r="AL924" s="9"/>
      <c r="AM924" s="9"/>
      <c r="AP924" s="9"/>
      <c r="AQ924" s="9"/>
      <c r="AT924" s="9"/>
      <c r="AU924" s="9"/>
      <c r="AX924" s="9"/>
      <c r="AY924" s="9"/>
    </row>
    <row r="925" spans="17:51" ht="12.75">
      <c r="Q925" s="28"/>
      <c r="Y925" s="28"/>
      <c r="AE925" s="59"/>
      <c r="AH925" s="9"/>
      <c r="AI925" s="9"/>
      <c r="AL925" s="9"/>
      <c r="AM925" s="9"/>
      <c r="AP925" s="9"/>
      <c r="AQ925" s="9"/>
      <c r="AT925" s="9"/>
      <c r="AU925" s="9"/>
      <c r="AX925" s="9"/>
      <c r="AY925" s="9"/>
    </row>
    <row r="926" spans="17:51" ht="12.75">
      <c r="Q926" s="28"/>
      <c r="Y926" s="28"/>
      <c r="AE926" s="59"/>
      <c r="AH926" s="9"/>
      <c r="AI926" s="9"/>
      <c r="AL926" s="9"/>
      <c r="AM926" s="9"/>
      <c r="AP926" s="9"/>
      <c r="AQ926" s="9"/>
      <c r="AT926" s="9"/>
      <c r="AU926" s="9"/>
      <c r="AX926" s="9"/>
      <c r="AY926" s="9"/>
    </row>
    <row r="927" spans="17:51" ht="12.75">
      <c r="Q927" s="28"/>
      <c r="Y927" s="28"/>
      <c r="AE927" s="59"/>
      <c r="AH927" s="9"/>
      <c r="AI927" s="9"/>
      <c r="AL927" s="9"/>
      <c r="AM927" s="9"/>
      <c r="AP927" s="9"/>
      <c r="AQ927" s="9"/>
      <c r="AT927" s="9"/>
      <c r="AU927" s="9"/>
      <c r="AX927" s="9"/>
      <c r="AY927" s="9"/>
    </row>
    <row r="928" spans="17:51" ht="12.75">
      <c r="Q928" s="28"/>
      <c r="Y928" s="28"/>
      <c r="AE928" s="59"/>
      <c r="AH928" s="9"/>
      <c r="AI928" s="9"/>
      <c r="AL928" s="9"/>
      <c r="AM928" s="9"/>
      <c r="AP928" s="9"/>
      <c r="AQ928" s="9"/>
      <c r="AT928" s="9"/>
      <c r="AU928" s="9"/>
      <c r="AX928" s="9"/>
      <c r="AY928" s="9"/>
    </row>
    <row r="929" spans="17:51" ht="12.75">
      <c r="Q929" s="28"/>
      <c r="Y929" s="28"/>
      <c r="AE929" s="59"/>
      <c r="AH929" s="9"/>
      <c r="AI929" s="9"/>
      <c r="AL929" s="9"/>
      <c r="AM929" s="9"/>
      <c r="AP929" s="9"/>
      <c r="AQ929" s="9"/>
      <c r="AT929" s="9"/>
      <c r="AU929" s="9"/>
      <c r="AX929" s="9"/>
      <c r="AY929" s="9"/>
    </row>
    <row r="930" spans="17:51" ht="12.75">
      <c r="Q930" s="28"/>
      <c r="Y930" s="28"/>
      <c r="AE930" s="59"/>
      <c r="AH930" s="9"/>
      <c r="AI930" s="9"/>
      <c r="AL930" s="9"/>
      <c r="AM930" s="9"/>
      <c r="AP930" s="9"/>
      <c r="AQ930" s="9"/>
      <c r="AT930" s="9"/>
      <c r="AU930" s="9"/>
      <c r="AX930" s="9"/>
      <c r="AY930" s="9"/>
    </row>
    <row r="931" spans="17:51" ht="12.75">
      <c r="Q931" s="28"/>
      <c r="Y931" s="28"/>
      <c r="AE931" s="59"/>
      <c r="AH931" s="9"/>
      <c r="AI931" s="9"/>
      <c r="AL931" s="9"/>
      <c r="AM931" s="9"/>
      <c r="AP931" s="9"/>
      <c r="AQ931" s="9"/>
      <c r="AT931" s="9"/>
      <c r="AU931" s="9"/>
      <c r="AX931" s="9"/>
      <c r="AY931" s="9"/>
    </row>
    <row r="932" spans="17:51" ht="12.75">
      <c r="Q932" s="28"/>
      <c r="Y932" s="28"/>
      <c r="AE932" s="59"/>
      <c r="AH932" s="9"/>
      <c r="AI932" s="9"/>
      <c r="AL932" s="9"/>
      <c r="AM932" s="9"/>
      <c r="AP932" s="9"/>
      <c r="AQ932" s="9"/>
      <c r="AT932" s="9"/>
      <c r="AU932" s="9"/>
      <c r="AX932" s="9"/>
      <c r="AY932" s="9"/>
    </row>
    <row r="933" spans="17:51" ht="12.75">
      <c r="Q933" s="28"/>
      <c r="Y933" s="28"/>
      <c r="AE933" s="59"/>
      <c r="AH933" s="9"/>
      <c r="AI933" s="9"/>
      <c r="AL933" s="9"/>
      <c r="AM933" s="9"/>
      <c r="AP933" s="9"/>
      <c r="AQ933" s="9"/>
      <c r="AT933" s="9"/>
      <c r="AU933" s="9"/>
      <c r="AX933" s="9"/>
      <c r="AY933" s="9"/>
    </row>
    <row r="934" spans="17:51" ht="12.75">
      <c r="Q934" s="28"/>
      <c r="Y934" s="28"/>
      <c r="AE934" s="59"/>
      <c r="AH934" s="9"/>
      <c r="AI934" s="9"/>
      <c r="AL934" s="9"/>
      <c r="AM934" s="9"/>
      <c r="AP934" s="9"/>
      <c r="AQ934" s="9"/>
      <c r="AT934" s="9"/>
      <c r="AU934" s="9"/>
      <c r="AX934" s="9"/>
      <c r="AY934" s="9"/>
    </row>
    <row r="935" spans="17:51" ht="12.75">
      <c r="Q935" s="28"/>
      <c r="Y935" s="28"/>
      <c r="AE935" s="59"/>
      <c r="AH935" s="9"/>
      <c r="AI935" s="9"/>
      <c r="AL935" s="9"/>
      <c r="AM935" s="9"/>
      <c r="AP935" s="9"/>
      <c r="AQ935" s="9"/>
      <c r="AT935" s="9"/>
      <c r="AU935" s="9"/>
      <c r="AX935" s="9"/>
      <c r="AY935" s="9"/>
    </row>
    <row r="936" spans="17:51" ht="12.75">
      <c r="Q936" s="28"/>
      <c r="Y936" s="28"/>
      <c r="AE936" s="59"/>
      <c r="AH936" s="9"/>
      <c r="AI936" s="9"/>
      <c r="AL936" s="9"/>
      <c r="AM936" s="9"/>
      <c r="AP936" s="9"/>
      <c r="AQ936" s="9"/>
      <c r="AT936" s="9"/>
      <c r="AU936" s="9"/>
      <c r="AX936" s="9"/>
      <c r="AY936" s="9"/>
    </row>
    <row r="937" spans="17:51" ht="12.75">
      <c r="Q937" s="28"/>
      <c r="Y937" s="28"/>
      <c r="AE937" s="59"/>
      <c r="AH937" s="9"/>
      <c r="AI937" s="9"/>
      <c r="AL937" s="9"/>
      <c r="AM937" s="9"/>
      <c r="AP937" s="9"/>
      <c r="AQ937" s="9"/>
      <c r="AT937" s="9"/>
      <c r="AU937" s="9"/>
      <c r="AX937" s="9"/>
      <c r="AY937" s="9"/>
    </row>
    <row r="938" spans="17:51" ht="12.75">
      <c r="Q938" s="28"/>
      <c r="Y938" s="28"/>
      <c r="AE938" s="59"/>
      <c r="AH938" s="9"/>
      <c r="AI938" s="9"/>
      <c r="AL938" s="9"/>
      <c r="AM938" s="9"/>
      <c r="AP938" s="9"/>
      <c r="AQ938" s="9"/>
      <c r="AT938" s="9"/>
      <c r="AU938" s="9"/>
      <c r="AX938" s="9"/>
      <c r="AY938" s="9"/>
    </row>
    <row r="939" spans="17:51" ht="12.75">
      <c r="Q939" s="28"/>
      <c r="Y939" s="28"/>
      <c r="AE939" s="59"/>
      <c r="AH939" s="9"/>
      <c r="AI939" s="9"/>
      <c r="AL939" s="9"/>
      <c r="AM939" s="9"/>
      <c r="AP939" s="9"/>
      <c r="AQ939" s="9"/>
      <c r="AT939" s="9"/>
      <c r="AU939" s="9"/>
      <c r="AX939" s="9"/>
      <c r="AY939" s="9"/>
    </row>
    <row r="940" spans="17:51" ht="12.75">
      <c r="Q940" s="28"/>
      <c r="Y940" s="28"/>
      <c r="AE940" s="59"/>
      <c r="AH940" s="9"/>
      <c r="AI940" s="9"/>
      <c r="AL940" s="9"/>
      <c r="AM940" s="9"/>
      <c r="AP940" s="9"/>
      <c r="AQ940" s="9"/>
      <c r="AT940" s="9"/>
      <c r="AU940" s="9"/>
      <c r="AX940" s="9"/>
      <c r="AY940" s="9"/>
    </row>
    <row r="941" spans="17:51" ht="12.75">
      <c r="Q941" s="28"/>
      <c r="Y941" s="28"/>
      <c r="AE941" s="59"/>
      <c r="AH941" s="9"/>
      <c r="AI941" s="9"/>
      <c r="AL941" s="9"/>
      <c r="AM941" s="9"/>
      <c r="AP941" s="9"/>
      <c r="AQ941" s="9"/>
      <c r="AT941" s="9"/>
      <c r="AU941" s="9"/>
      <c r="AX941" s="9"/>
      <c r="AY941" s="9"/>
    </row>
    <row r="942" spans="17:51" ht="12.75">
      <c r="Q942" s="28"/>
      <c r="Y942" s="28"/>
      <c r="AE942" s="59"/>
      <c r="AH942" s="9"/>
      <c r="AI942" s="9"/>
      <c r="AL942" s="9"/>
      <c r="AM942" s="9"/>
      <c r="AP942" s="9"/>
      <c r="AQ942" s="9"/>
      <c r="AT942" s="9"/>
      <c r="AU942" s="9"/>
      <c r="AX942" s="9"/>
      <c r="AY942" s="9"/>
    </row>
    <row r="943" spans="17:51" ht="12.75">
      <c r="Q943" s="28"/>
      <c r="Y943" s="28"/>
      <c r="AE943" s="59"/>
      <c r="AH943" s="9"/>
      <c r="AI943" s="9"/>
      <c r="AL943" s="9"/>
      <c r="AM943" s="9"/>
      <c r="AP943" s="9"/>
      <c r="AQ943" s="9"/>
      <c r="AT943" s="9"/>
      <c r="AU943" s="9"/>
      <c r="AX943" s="9"/>
      <c r="AY943" s="9"/>
    </row>
    <row r="944" spans="17:51" ht="12.75">
      <c r="Q944" s="28"/>
      <c r="Y944" s="28"/>
      <c r="AE944" s="59"/>
      <c r="AH944" s="9"/>
      <c r="AI944" s="9"/>
      <c r="AL944" s="9"/>
      <c r="AM944" s="9"/>
      <c r="AP944" s="9"/>
      <c r="AQ944" s="9"/>
      <c r="AT944" s="9"/>
      <c r="AU944" s="9"/>
      <c r="AX944" s="9"/>
      <c r="AY944" s="9"/>
    </row>
    <row r="945" spans="17:51" ht="12.75">
      <c r="Q945" s="28"/>
      <c r="Y945" s="28"/>
      <c r="AE945" s="59"/>
      <c r="AH945" s="9"/>
      <c r="AI945" s="9"/>
      <c r="AL945" s="9"/>
      <c r="AM945" s="9"/>
      <c r="AP945" s="9"/>
      <c r="AQ945" s="9"/>
      <c r="AT945" s="9"/>
      <c r="AU945" s="9"/>
      <c r="AX945" s="9"/>
      <c r="AY945" s="9"/>
    </row>
    <row r="946" spans="17:51" ht="12.75">
      <c r="Q946" s="28"/>
      <c r="Y946" s="28"/>
      <c r="AE946" s="59"/>
      <c r="AH946" s="9"/>
      <c r="AI946" s="9"/>
      <c r="AL946" s="9"/>
      <c r="AM946" s="9"/>
      <c r="AP946" s="9"/>
      <c r="AQ946" s="9"/>
      <c r="AT946" s="9"/>
      <c r="AU946" s="9"/>
      <c r="AX946" s="9"/>
      <c r="AY946" s="9"/>
    </row>
    <row r="947" spans="17:51" ht="12.75">
      <c r="Q947" s="28"/>
      <c r="Y947" s="28"/>
      <c r="AE947" s="59"/>
      <c r="AH947" s="9"/>
      <c r="AI947" s="9"/>
      <c r="AL947" s="9"/>
      <c r="AM947" s="9"/>
      <c r="AP947" s="9"/>
      <c r="AQ947" s="9"/>
      <c r="AT947" s="9"/>
      <c r="AU947" s="9"/>
      <c r="AX947" s="9"/>
      <c r="AY947" s="9"/>
    </row>
    <row r="948" spans="17:51" ht="12.75">
      <c r="Q948" s="28"/>
      <c r="Y948" s="28"/>
      <c r="AE948" s="59"/>
      <c r="AH948" s="9"/>
      <c r="AI948" s="9"/>
      <c r="AL948" s="9"/>
      <c r="AM948" s="9"/>
      <c r="AP948" s="9"/>
      <c r="AQ948" s="9"/>
      <c r="AT948" s="9"/>
      <c r="AU948" s="9"/>
      <c r="AX948" s="9"/>
      <c r="AY948" s="9"/>
    </row>
    <row r="949" spans="17:51" ht="12.75">
      <c r="Q949" s="28"/>
      <c r="Y949" s="28"/>
      <c r="AE949" s="59"/>
      <c r="AH949" s="9"/>
      <c r="AI949" s="9"/>
      <c r="AL949" s="9"/>
      <c r="AM949" s="9"/>
      <c r="AP949" s="9"/>
      <c r="AQ949" s="9"/>
      <c r="AT949" s="9"/>
      <c r="AU949" s="9"/>
      <c r="AX949" s="9"/>
      <c r="AY949" s="9"/>
    </row>
    <row r="950" spans="17:51" ht="12.75">
      <c r="Q950" s="28"/>
      <c r="Y950" s="28"/>
      <c r="AE950" s="59"/>
      <c r="AH950" s="9"/>
      <c r="AI950" s="9"/>
      <c r="AL950" s="9"/>
      <c r="AM950" s="9"/>
      <c r="AP950" s="9"/>
      <c r="AQ950" s="9"/>
      <c r="AT950" s="9"/>
      <c r="AU950" s="9"/>
      <c r="AX950" s="9"/>
      <c r="AY950" s="9"/>
    </row>
    <row r="951" spans="17:51" ht="12.75">
      <c r="Q951" s="28"/>
      <c r="Y951" s="28"/>
      <c r="AE951" s="59"/>
      <c r="AH951" s="9"/>
      <c r="AI951" s="9"/>
      <c r="AL951" s="9"/>
      <c r="AM951" s="9"/>
      <c r="AP951" s="9"/>
      <c r="AQ951" s="9"/>
      <c r="AT951" s="9"/>
      <c r="AU951" s="9"/>
      <c r="AX951" s="9"/>
      <c r="AY951" s="9"/>
    </row>
    <row r="952" spans="17:51" ht="12.75">
      <c r="Q952" s="28"/>
      <c r="Y952" s="28"/>
      <c r="AE952" s="59"/>
      <c r="AH952" s="9"/>
      <c r="AI952" s="9"/>
      <c r="AL952" s="9"/>
      <c r="AM952" s="9"/>
      <c r="AP952" s="9"/>
      <c r="AQ952" s="9"/>
      <c r="AT952" s="9"/>
      <c r="AU952" s="9"/>
      <c r="AX952" s="9"/>
      <c r="AY952" s="9"/>
    </row>
    <row r="953" spans="17:51" ht="12.75">
      <c r="Q953" s="28"/>
      <c r="Y953" s="28"/>
      <c r="AE953" s="59"/>
      <c r="AH953" s="9"/>
      <c r="AI953" s="9"/>
      <c r="AL953" s="9"/>
      <c r="AM953" s="9"/>
      <c r="AP953" s="9"/>
      <c r="AQ953" s="9"/>
      <c r="AT953" s="9"/>
      <c r="AU953" s="9"/>
      <c r="AX953" s="9"/>
      <c r="AY953" s="9"/>
    </row>
    <row r="954" spans="17:51" ht="12.75">
      <c r="Q954" s="28"/>
      <c r="Y954" s="28"/>
      <c r="AE954" s="59"/>
      <c r="AH954" s="9"/>
      <c r="AI954" s="9"/>
      <c r="AL954" s="9"/>
      <c r="AM954" s="9"/>
      <c r="AP954" s="9"/>
      <c r="AQ954" s="9"/>
      <c r="AT954" s="9"/>
      <c r="AU954" s="9"/>
      <c r="AX954" s="9"/>
      <c r="AY954" s="9"/>
    </row>
    <row r="955" spans="17:51" ht="12.75">
      <c r="Q955" s="28"/>
      <c r="Y955" s="28"/>
      <c r="AE955" s="59"/>
      <c r="AH955" s="9"/>
      <c r="AI955" s="9"/>
      <c r="AL955" s="9"/>
      <c r="AM955" s="9"/>
      <c r="AP955" s="9"/>
      <c r="AQ955" s="9"/>
      <c r="AT955" s="9"/>
      <c r="AU955" s="9"/>
      <c r="AX955" s="9"/>
      <c r="AY955" s="9"/>
    </row>
    <row r="956" spans="17:51" ht="12.75">
      <c r="Q956" s="28"/>
      <c r="Y956" s="28"/>
      <c r="AE956" s="59"/>
      <c r="AH956" s="9"/>
      <c r="AI956" s="9"/>
      <c r="AL956" s="9"/>
      <c r="AM956" s="9"/>
      <c r="AP956" s="9"/>
      <c r="AQ956" s="9"/>
      <c r="AT956" s="9"/>
      <c r="AU956" s="9"/>
      <c r="AX956" s="9"/>
      <c r="AY956" s="9"/>
    </row>
    <row r="957" spans="17:51" ht="12.75">
      <c r="Q957" s="28"/>
      <c r="Y957" s="28"/>
      <c r="AE957" s="59"/>
      <c r="AH957" s="9"/>
      <c r="AI957" s="9"/>
      <c r="AL957" s="9"/>
      <c r="AM957" s="9"/>
      <c r="AP957" s="9"/>
      <c r="AQ957" s="9"/>
      <c r="AT957" s="9"/>
      <c r="AU957" s="9"/>
      <c r="AX957" s="9"/>
      <c r="AY957" s="9"/>
    </row>
    <row r="958" spans="17:51" ht="12.75">
      <c r="Q958" s="28"/>
      <c r="Y958" s="28"/>
      <c r="AE958" s="59"/>
      <c r="AH958" s="9"/>
      <c r="AI958" s="9"/>
      <c r="AL958" s="9"/>
      <c r="AM958" s="9"/>
      <c r="AP958" s="9"/>
      <c r="AQ958" s="9"/>
      <c r="AT958" s="9"/>
      <c r="AU958" s="9"/>
      <c r="AX958" s="9"/>
      <c r="AY958" s="9"/>
    </row>
    <row r="959" spans="17:51" ht="12.75">
      <c r="Q959" s="28"/>
      <c r="Y959" s="28"/>
      <c r="AE959" s="59"/>
      <c r="AH959" s="9"/>
      <c r="AI959" s="9"/>
      <c r="AL959" s="9"/>
      <c r="AM959" s="9"/>
      <c r="AP959" s="9"/>
      <c r="AQ959" s="9"/>
      <c r="AT959" s="9"/>
      <c r="AU959" s="9"/>
      <c r="AX959" s="9"/>
      <c r="AY959" s="9"/>
    </row>
    <row r="960" spans="17:51" ht="12.75">
      <c r="Q960" s="28"/>
      <c r="Y960" s="28"/>
      <c r="AE960" s="59"/>
      <c r="AH960" s="9"/>
      <c r="AI960" s="9"/>
      <c r="AL960" s="9"/>
      <c r="AM960" s="9"/>
      <c r="AP960" s="9"/>
      <c r="AQ960" s="9"/>
      <c r="AT960" s="9"/>
      <c r="AU960" s="9"/>
      <c r="AX960" s="9"/>
      <c r="AY960" s="9"/>
    </row>
    <row r="961" spans="17:51" ht="12.75">
      <c r="Q961" s="28"/>
      <c r="Y961" s="28"/>
      <c r="AE961" s="59"/>
      <c r="AH961" s="9"/>
      <c r="AI961" s="9"/>
      <c r="AL961" s="9"/>
      <c r="AM961" s="9"/>
      <c r="AP961" s="9"/>
      <c r="AQ961" s="9"/>
      <c r="AT961" s="9"/>
      <c r="AU961" s="9"/>
      <c r="AX961" s="9"/>
      <c r="AY961" s="9"/>
    </row>
    <row r="962" spans="17:51" ht="12.75">
      <c r="Q962" s="28"/>
      <c r="Y962" s="28"/>
      <c r="AE962" s="59"/>
      <c r="AH962" s="9"/>
      <c r="AI962" s="9"/>
      <c r="AL962" s="9"/>
      <c r="AM962" s="9"/>
      <c r="AP962" s="9"/>
      <c r="AQ962" s="9"/>
      <c r="AT962" s="9"/>
      <c r="AU962" s="9"/>
      <c r="AX962" s="9"/>
      <c r="AY962" s="9"/>
    </row>
    <row r="963" spans="17:51" ht="12.75">
      <c r="Q963" s="28"/>
      <c r="Y963" s="28"/>
      <c r="AE963" s="59"/>
      <c r="AH963" s="9"/>
      <c r="AI963" s="9"/>
      <c r="AL963" s="9"/>
      <c r="AM963" s="9"/>
      <c r="AP963" s="9"/>
      <c r="AQ963" s="9"/>
      <c r="AT963" s="9"/>
      <c r="AU963" s="9"/>
      <c r="AX963" s="9"/>
      <c r="AY963" s="9"/>
    </row>
    <row r="964" spans="17:51" ht="12.75">
      <c r="Q964" s="28"/>
      <c r="Y964" s="28"/>
      <c r="AE964" s="59"/>
      <c r="AH964" s="9"/>
      <c r="AI964" s="9"/>
      <c r="AL964" s="9"/>
      <c r="AM964" s="9"/>
      <c r="AP964" s="9"/>
      <c r="AQ964" s="9"/>
      <c r="AT964" s="9"/>
      <c r="AU964" s="9"/>
      <c r="AX964" s="9"/>
      <c r="AY964" s="9"/>
    </row>
    <row r="965" spans="17:51" ht="12.75">
      <c r="Q965" s="28"/>
      <c r="Y965" s="28"/>
      <c r="AE965" s="59"/>
      <c r="AH965" s="9"/>
      <c r="AI965" s="9"/>
      <c r="AL965" s="9"/>
      <c r="AM965" s="9"/>
      <c r="AP965" s="9"/>
      <c r="AQ965" s="9"/>
      <c r="AT965" s="9"/>
      <c r="AU965" s="9"/>
      <c r="AX965" s="9"/>
      <c r="AY965" s="9"/>
    </row>
    <row r="966" spans="17:51" ht="12.75">
      <c r="Q966" s="28"/>
      <c r="Y966" s="28"/>
      <c r="AE966" s="59"/>
      <c r="AH966" s="9"/>
      <c r="AI966" s="9"/>
      <c r="AL966" s="9"/>
      <c r="AM966" s="9"/>
      <c r="AP966" s="9"/>
      <c r="AQ966" s="9"/>
      <c r="AT966" s="9"/>
      <c r="AU966" s="9"/>
      <c r="AX966" s="9"/>
      <c r="AY966" s="9"/>
    </row>
    <row r="967" spans="17:51" ht="12.75">
      <c r="Q967" s="28"/>
      <c r="Y967" s="28"/>
      <c r="AE967" s="59"/>
      <c r="AH967" s="9"/>
      <c r="AI967" s="9"/>
      <c r="AL967" s="9"/>
      <c r="AM967" s="9"/>
      <c r="AP967" s="9"/>
      <c r="AQ967" s="9"/>
      <c r="AT967" s="9"/>
      <c r="AU967" s="9"/>
      <c r="AX967" s="9"/>
      <c r="AY967" s="9"/>
    </row>
    <row r="968" spans="17:51" ht="12.75">
      <c r="Q968" s="28"/>
      <c r="Y968" s="28"/>
      <c r="AE968" s="59"/>
      <c r="AH968" s="9"/>
      <c r="AI968" s="9"/>
      <c r="AL968" s="9"/>
      <c r="AM968" s="9"/>
      <c r="AP968" s="9"/>
      <c r="AQ968" s="9"/>
      <c r="AT968" s="9"/>
      <c r="AU968" s="9"/>
      <c r="AX968" s="9"/>
      <c r="AY968" s="9"/>
    </row>
    <row r="969" spans="17:51" ht="12.75">
      <c r="Q969" s="28"/>
      <c r="Y969" s="28"/>
      <c r="AE969" s="59"/>
      <c r="AH969" s="9"/>
      <c r="AI969" s="9"/>
      <c r="AL969" s="9"/>
      <c r="AM969" s="9"/>
      <c r="AP969" s="9"/>
      <c r="AQ969" s="9"/>
      <c r="AT969" s="9"/>
      <c r="AU969" s="9"/>
      <c r="AX969" s="9"/>
      <c r="AY969" s="9"/>
    </row>
    <row r="970" spans="17:51" ht="12.75">
      <c r="Q970" s="28"/>
      <c r="Y970" s="28"/>
      <c r="AE970" s="59"/>
      <c r="AH970" s="9"/>
      <c r="AI970" s="9"/>
      <c r="AL970" s="9"/>
      <c r="AM970" s="9"/>
      <c r="AP970" s="9"/>
      <c r="AQ970" s="9"/>
      <c r="AT970" s="9"/>
      <c r="AU970" s="9"/>
      <c r="AX970" s="9"/>
      <c r="AY970" s="9"/>
    </row>
    <row r="971" spans="17:51" ht="12.75">
      <c r="Q971" s="28"/>
      <c r="Y971" s="28"/>
      <c r="AE971" s="59"/>
      <c r="AH971" s="9"/>
      <c r="AI971" s="9"/>
      <c r="AL971" s="9"/>
      <c r="AM971" s="9"/>
      <c r="AP971" s="9"/>
      <c r="AQ971" s="9"/>
      <c r="AT971" s="9"/>
      <c r="AU971" s="9"/>
      <c r="AX971" s="9"/>
      <c r="AY971" s="9"/>
    </row>
    <row r="972" spans="17:51" ht="12.75">
      <c r="Q972" s="28"/>
      <c r="Y972" s="28"/>
      <c r="AE972" s="59"/>
      <c r="AH972" s="9"/>
      <c r="AI972" s="9"/>
      <c r="AL972" s="9"/>
      <c r="AM972" s="9"/>
      <c r="AP972" s="9"/>
      <c r="AQ972" s="9"/>
      <c r="AT972" s="9"/>
      <c r="AU972" s="9"/>
      <c r="AX972" s="9"/>
      <c r="AY972" s="9"/>
    </row>
    <row r="973" spans="17:51" ht="12.75">
      <c r="Q973" s="28"/>
      <c r="Y973" s="28"/>
      <c r="AE973" s="59"/>
      <c r="AH973" s="9"/>
      <c r="AI973" s="9"/>
      <c r="AL973" s="9"/>
      <c r="AM973" s="9"/>
      <c r="AP973" s="9"/>
      <c r="AQ973" s="9"/>
      <c r="AT973" s="9"/>
      <c r="AU973" s="9"/>
      <c r="AX973" s="9"/>
      <c r="AY973" s="9"/>
    </row>
    <row r="974" spans="17:51" ht="12.75">
      <c r="Q974" s="28"/>
      <c r="Y974" s="28"/>
      <c r="AE974" s="59"/>
      <c r="AH974" s="9"/>
      <c r="AI974" s="9"/>
      <c r="AL974" s="9"/>
      <c r="AM974" s="9"/>
      <c r="AP974" s="9"/>
      <c r="AQ974" s="9"/>
      <c r="AT974" s="9"/>
      <c r="AU974" s="9"/>
      <c r="AX974" s="9"/>
      <c r="AY974" s="9"/>
    </row>
    <row r="975" spans="17:51" ht="12.75">
      <c r="Q975" s="28"/>
      <c r="Y975" s="28"/>
      <c r="AE975" s="59"/>
      <c r="AH975" s="9"/>
      <c r="AI975" s="9"/>
      <c r="AL975" s="9"/>
      <c r="AM975" s="9"/>
      <c r="AP975" s="9"/>
      <c r="AQ975" s="9"/>
      <c r="AT975" s="9"/>
      <c r="AU975" s="9"/>
      <c r="AX975" s="9"/>
      <c r="AY975" s="9"/>
    </row>
    <row r="976" spans="17:51" ht="12.75">
      <c r="Q976" s="28"/>
      <c r="Y976" s="28"/>
      <c r="AE976" s="59"/>
      <c r="AH976" s="9"/>
      <c r="AI976" s="9"/>
      <c r="AL976" s="9"/>
      <c r="AM976" s="9"/>
      <c r="AP976" s="9"/>
      <c r="AQ976" s="9"/>
      <c r="AT976" s="9"/>
      <c r="AU976" s="9"/>
      <c r="AX976" s="9"/>
      <c r="AY976" s="9"/>
    </row>
    <row r="977" spans="17:51" ht="12.75">
      <c r="Q977" s="28"/>
      <c r="Y977" s="28"/>
      <c r="AE977" s="59"/>
      <c r="AH977" s="9"/>
      <c r="AI977" s="9"/>
      <c r="AL977" s="9"/>
      <c r="AM977" s="9"/>
      <c r="AP977" s="9"/>
      <c r="AQ977" s="9"/>
      <c r="AT977" s="9"/>
      <c r="AU977" s="9"/>
      <c r="AX977" s="9"/>
      <c r="AY977" s="9"/>
    </row>
    <row r="978" spans="17:51" ht="12.75">
      <c r="Q978" s="28"/>
      <c r="Y978" s="28"/>
      <c r="AE978" s="59"/>
      <c r="AH978" s="9"/>
      <c r="AI978" s="9"/>
      <c r="AL978" s="9"/>
      <c r="AM978" s="9"/>
      <c r="AP978" s="9"/>
      <c r="AQ978" s="9"/>
      <c r="AT978" s="9"/>
      <c r="AU978" s="9"/>
      <c r="AX978" s="9"/>
      <c r="AY978" s="9"/>
    </row>
    <row r="979" spans="17:51" ht="12.75">
      <c r="Q979" s="28"/>
      <c r="Y979" s="28"/>
      <c r="AE979" s="59"/>
      <c r="AH979" s="9"/>
      <c r="AI979" s="9"/>
      <c r="AL979" s="9"/>
      <c r="AM979" s="9"/>
      <c r="AP979" s="9"/>
      <c r="AQ979" s="9"/>
      <c r="AT979" s="9"/>
      <c r="AU979" s="9"/>
      <c r="AX979" s="9"/>
      <c r="AY979" s="9"/>
    </row>
    <row r="980" spans="17:51" ht="12.75">
      <c r="Q980" s="28"/>
      <c r="Y980" s="28"/>
      <c r="AE980" s="59"/>
      <c r="AH980" s="9"/>
      <c r="AI980" s="9"/>
      <c r="AL980" s="9"/>
      <c r="AM980" s="9"/>
      <c r="AP980" s="9"/>
      <c r="AQ980" s="9"/>
      <c r="AT980" s="9"/>
      <c r="AU980" s="9"/>
      <c r="AX980" s="9"/>
      <c r="AY980" s="9"/>
    </row>
    <row r="981" spans="17:51" ht="12.75">
      <c r="Q981" s="28"/>
      <c r="Y981" s="28"/>
      <c r="AE981" s="59"/>
      <c r="AH981" s="9"/>
      <c r="AI981" s="9"/>
      <c r="AL981" s="9"/>
      <c r="AM981" s="9"/>
      <c r="AP981" s="9"/>
      <c r="AQ981" s="9"/>
      <c r="AT981" s="9"/>
      <c r="AU981" s="9"/>
      <c r="AX981" s="9"/>
      <c r="AY981" s="9"/>
    </row>
    <row r="982" spans="17:51" ht="12.75">
      <c r="Q982" s="28"/>
      <c r="Y982" s="28"/>
      <c r="AE982" s="59"/>
      <c r="AH982" s="9"/>
      <c r="AI982" s="9"/>
      <c r="AL982" s="9"/>
      <c r="AM982" s="9"/>
      <c r="AP982" s="9"/>
      <c r="AQ982" s="9"/>
      <c r="AT982" s="9"/>
      <c r="AU982" s="9"/>
      <c r="AX982" s="9"/>
      <c r="AY982" s="9"/>
    </row>
    <row r="983" spans="17:51" ht="12.75">
      <c r="Q983" s="28"/>
      <c r="Y983" s="28"/>
      <c r="AE983" s="59"/>
      <c r="AH983" s="9"/>
      <c r="AI983" s="9"/>
      <c r="AL983" s="9"/>
      <c r="AM983" s="9"/>
      <c r="AP983" s="9"/>
      <c r="AQ983" s="9"/>
      <c r="AT983" s="9"/>
      <c r="AU983" s="9"/>
      <c r="AX983" s="9"/>
      <c r="AY983" s="9"/>
    </row>
    <row r="984" spans="17:51" ht="12.75">
      <c r="Q984" s="28"/>
      <c r="Y984" s="28"/>
      <c r="AE984" s="59"/>
      <c r="AH984" s="9"/>
      <c r="AI984" s="9"/>
      <c r="AL984" s="9"/>
      <c r="AM984" s="9"/>
      <c r="AP984" s="9"/>
      <c r="AQ984" s="9"/>
      <c r="AT984" s="9"/>
      <c r="AU984" s="9"/>
      <c r="AX984" s="9"/>
      <c r="AY984" s="9"/>
    </row>
    <row r="985" spans="17:51" ht="12.75">
      <c r="Q985" s="28"/>
      <c r="Y985" s="28"/>
      <c r="AE985" s="59"/>
      <c r="AH985" s="9"/>
      <c r="AI985" s="9"/>
      <c r="AL985" s="9"/>
      <c r="AM985" s="9"/>
      <c r="AP985" s="9"/>
      <c r="AQ985" s="9"/>
      <c r="AT985" s="9"/>
      <c r="AU985" s="9"/>
      <c r="AX985" s="9"/>
      <c r="AY985" s="9"/>
    </row>
    <row r="986" spans="17:51" ht="12.75">
      <c r="Q986" s="28"/>
      <c r="Y986" s="28"/>
      <c r="AE986" s="59"/>
      <c r="AH986" s="9"/>
      <c r="AI986" s="9"/>
      <c r="AL986" s="9"/>
      <c r="AM986" s="9"/>
      <c r="AP986" s="9"/>
      <c r="AQ986" s="9"/>
      <c r="AT986" s="9"/>
      <c r="AU986" s="9"/>
      <c r="AX986" s="9"/>
      <c r="AY986" s="9"/>
    </row>
    <row r="987" spans="17:51" ht="12.75">
      <c r="Q987" s="28"/>
      <c r="Y987" s="28"/>
      <c r="AE987" s="59"/>
      <c r="AH987" s="9"/>
      <c r="AI987" s="9"/>
      <c r="AL987" s="9"/>
      <c r="AM987" s="9"/>
      <c r="AP987" s="9"/>
      <c r="AQ987" s="9"/>
      <c r="AT987" s="9"/>
      <c r="AU987" s="9"/>
      <c r="AX987" s="9"/>
      <c r="AY987" s="9"/>
    </row>
    <row r="988" spans="17:51" ht="12.75">
      <c r="Q988" s="28"/>
      <c r="Y988" s="28"/>
      <c r="AE988" s="59"/>
      <c r="AH988" s="9"/>
      <c r="AI988" s="9"/>
      <c r="AL988" s="9"/>
      <c r="AM988" s="9"/>
      <c r="AP988" s="9"/>
      <c r="AQ988" s="9"/>
      <c r="AT988" s="9"/>
      <c r="AU988" s="9"/>
      <c r="AX988" s="9"/>
      <c r="AY988" s="9"/>
    </row>
    <row r="989" spans="17:51" ht="12.75">
      <c r="Q989" s="28"/>
      <c r="Y989" s="28"/>
      <c r="AE989" s="59"/>
      <c r="AH989" s="9"/>
      <c r="AI989" s="9"/>
      <c r="AL989" s="9"/>
      <c r="AM989" s="9"/>
      <c r="AP989" s="9"/>
      <c r="AQ989" s="9"/>
      <c r="AT989" s="9"/>
      <c r="AU989" s="9"/>
      <c r="AX989" s="9"/>
      <c r="AY989" s="9"/>
    </row>
    <row r="990" spans="17:51" ht="12.75">
      <c r="Q990" s="28"/>
      <c r="Y990" s="28"/>
      <c r="AE990" s="59"/>
      <c r="AH990" s="9"/>
      <c r="AI990" s="9"/>
      <c r="AL990" s="9"/>
      <c r="AM990" s="9"/>
      <c r="AP990" s="9"/>
      <c r="AQ990" s="9"/>
      <c r="AT990" s="9"/>
      <c r="AU990" s="9"/>
      <c r="AX990" s="9"/>
      <c r="AY990" s="9"/>
    </row>
    <row r="991" spans="17:51" ht="12.75">
      <c r="Q991" s="28"/>
      <c r="Y991" s="28"/>
      <c r="AE991" s="59"/>
      <c r="AH991" s="9"/>
      <c r="AI991" s="9"/>
      <c r="AL991" s="9"/>
      <c r="AM991" s="9"/>
      <c r="AP991" s="9"/>
      <c r="AQ991" s="9"/>
      <c r="AT991" s="9"/>
      <c r="AU991" s="9"/>
      <c r="AX991" s="9"/>
      <c r="AY991" s="9"/>
    </row>
    <row r="992" spans="17:51" ht="12.75">
      <c r="Q992" s="28"/>
      <c r="Y992" s="28"/>
      <c r="AE992" s="59"/>
      <c r="AH992" s="9"/>
      <c r="AI992" s="9"/>
      <c r="AL992" s="9"/>
      <c r="AM992" s="9"/>
      <c r="AP992" s="9"/>
      <c r="AQ992" s="9"/>
      <c r="AT992" s="9"/>
      <c r="AU992" s="9"/>
      <c r="AX992" s="9"/>
      <c r="AY992" s="9"/>
    </row>
    <row r="993" spans="17:51" ht="12.75">
      <c r="Q993" s="28"/>
      <c r="Y993" s="28"/>
      <c r="AE993" s="59"/>
      <c r="AH993" s="9"/>
      <c r="AI993" s="9"/>
      <c r="AL993" s="9"/>
      <c r="AM993" s="9"/>
      <c r="AP993" s="9"/>
      <c r="AQ993" s="9"/>
      <c r="AT993" s="9"/>
      <c r="AU993" s="9"/>
      <c r="AX993" s="9"/>
      <c r="AY993" s="9"/>
    </row>
    <row r="994" spans="17:51" ht="12.75">
      <c r="Q994" s="28"/>
      <c r="Y994" s="28"/>
      <c r="AE994" s="59"/>
      <c r="AH994" s="9"/>
      <c r="AI994" s="9"/>
      <c r="AL994" s="9"/>
      <c r="AM994" s="9"/>
      <c r="AP994" s="9"/>
      <c r="AQ994" s="9"/>
      <c r="AT994" s="9"/>
      <c r="AU994" s="9"/>
      <c r="AX994" s="9"/>
      <c r="AY994" s="9"/>
    </row>
    <row r="995" spans="17:51" ht="12.75">
      <c r="Q995" s="28"/>
      <c r="Y995" s="28"/>
      <c r="AE995" s="59"/>
      <c r="AH995" s="9"/>
      <c r="AI995" s="9"/>
      <c r="AL995" s="9"/>
      <c r="AM995" s="9"/>
      <c r="AP995" s="9"/>
      <c r="AQ995" s="9"/>
      <c r="AT995" s="9"/>
      <c r="AU995" s="9"/>
      <c r="AX995" s="9"/>
      <c r="AY995" s="9"/>
    </row>
    <row r="996" spans="17:51" ht="12.75">
      <c r="Q996" s="28"/>
      <c r="Y996" s="28"/>
      <c r="AE996" s="59"/>
      <c r="AH996" s="9"/>
      <c r="AI996" s="9"/>
      <c r="AL996" s="9"/>
      <c r="AM996" s="9"/>
      <c r="AP996" s="9"/>
      <c r="AQ996" s="9"/>
      <c r="AT996" s="9"/>
      <c r="AU996" s="9"/>
      <c r="AX996" s="9"/>
      <c r="AY996" s="9"/>
    </row>
    <row r="997" spans="17:51" ht="12.75">
      <c r="Q997" s="28"/>
      <c r="Y997" s="28"/>
      <c r="AE997" s="59"/>
      <c r="AH997" s="9"/>
      <c r="AI997" s="9"/>
      <c r="AL997" s="9"/>
      <c r="AM997" s="9"/>
      <c r="AP997" s="9"/>
      <c r="AQ997" s="9"/>
      <c r="AT997" s="9"/>
      <c r="AU997" s="9"/>
      <c r="AX997" s="9"/>
      <c r="AY997" s="9"/>
    </row>
    <row r="998" spans="17:51" ht="12.75">
      <c r="Q998" s="28"/>
      <c r="Y998" s="28"/>
      <c r="AE998" s="59"/>
      <c r="AH998" s="9"/>
      <c r="AI998" s="9"/>
      <c r="AL998" s="9"/>
      <c r="AM998" s="9"/>
      <c r="AP998" s="9"/>
      <c r="AQ998" s="9"/>
      <c r="AT998" s="9"/>
      <c r="AU998" s="9"/>
      <c r="AX998" s="9"/>
      <c r="AY998" s="9"/>
    </row>
    <row r="999" spans="17:51" ht="12.75">
      <c r="Q999" s="28"/>
      <c r="Y999" s="28"/>
      <c r="AE999" s="59"/>
      <c r="AH999" s="9"/>
      <c r="AI999" s="9"/>
      <c r="AL999" s="9"/>
      <c r="AM999" s="9"/>
      <c r="AP999" s="9"/>
      <c r="AQ999" s="9"/>
      <c r="AT999" s="9"/>
      <c r="AU999" s="9"/>
      <c r="AX999" s="9"/>
      <c r="AY999" s="9"/>
    </row>
    <row r="1000" spans="17:51" ht="12.75">
      <c r="Q1000" s="28"/>
      <c r="Y1000" s="28"/>
      <c r="AE1000" s="59"/>
      <c r="AH1000" s="9"/>
      <c r="AI1000" s="9"/>
      <c r="AL1000" s="9"/>
      <c r="AM1000" s="9"/>
      <c r="AP1000" s="9"/>
      <c r="AQ1000" s="9"/>
      <c r="AT1000" s="9"/>
      <c r="AU1000" s="9"/>
      <c r="AX1000" s="9"/>
      <c r="AY1000" s="9"/>
    </row>
    <row r="1001" spans="17:51" ht="12.75">
      <c r="Q1001" s="28"/>
      <c r="Y1001" s="28"/>
      <c r="AE1001" s="59"/>
      <c r="AH1001" s="9"/>
      <c r="AI1001" s="9"/>
      <c r="AL1001" s="9"/>
      <c r="AM1001" s="9"/>
      <c r="AP1001" s="9"/>
      <c r="AQ1001" s="9"/>
      <c r="AT1001" s="9"/>
      <c r="AU1001" s="9"/>
      <c r="AX1001" s="9"/>
      <c r="AY1001" s="9"/>
    </row>
    <row r="1002" spans="17:51" ht="12.75">
      <c r="Q1002" s="28"/>
      <c r="Y1002" s="28"/>
      <c r="AE1002" s="59"/>
      <c r="AH1002" s="9"/>
      <c r="AI1002" s="9"/>
      <c r="AL1002" s="9"/>
      <c r="AM1002" s="9"/>
      <c r="AP1002" s="9"/>
      <c r="AQ1002" s="9"/>
      <c r="AT1002" s="9"/>
      <c r="AU1002" s="9"/>
      <c r="AX1002" s="9"/>
      <c r="AY1002" s="9"/>
    </row>
    <row r="1003" spans="17:51" ht="12.75">
      <c r="Q1003" s="28"/>
      <c r="Y1003" s="28"/>
      <c r="AE1003" s="59"/>
      <c r="AH1003" s="9"/>
      <c r="AI1003" s="9"/>
      <c r="AL1003" s="9"/>
      <c r="AM1003" s="9"/>
      <c r="AP1003" s="9"/>
      <c r="AQ1003" s="9"/>
      <c r="AT1003" s="9"/>
      <c r="AU1003" s="9"/>
      <c r="AX1003" s="9"/>
      <c r="AY1003" s="9"/>
    </row>
    <row r="1004" spans="17:51" ht="12.75">
      <c r="Q1004" s="28"/>
      <c r="Y1004" s="28"/>
      <c r="AE1004" s="59"/>
      <c r="AH1004" s="9"/>
      <c r="AI1004" s="9"/>
      <c r="AL1004" s="9"/>
      <c r="AM1004" s="9"/>
      <c r="AP1004" s="9"/>
      <c r="AQ1004" s="9"/>
      <c r="AT1004" s="9"/>
      <c r="AU1004" s="9"/>
      <c r="AX1004" s="9"/>
      <c r="AY1004" s="9"/>
    </row>
    <row r="1005" spans="17:51" ht="12.75">
      <c r="Q1005" s="28"/>
      <c r="Y1005" s="28"/>
      <c r="AE1005" s="59"/>
      <c r="AH1005" s="9"/>
      <c r="AI1005" s="9"/>
      <c r="AL1005" s="9"/>
      <c r="AM1005" s="9"/>
      <c r="AP1005" s="9"/>
      <c r="AQ1005" s="9"/>
      <c r="AT1005" s="9"/>
      <c r="AU1005" s="9"/>
      <c r="AX1005" s="9"/>
      <c r="AY1005" s="9"/>
    </row>
    <row r="1006" spans="17:51" ht="12.75">
      <c r="Q1006" s="28"/>
      <c r="Y1006" s="28"/>
      <c r="AE1006" s="59"/>
      <c r="AH1006" s="9"/>
      <c r="AI1006" s="9"/>
      <c r="AL1006" s="9"/>
      <c r="AM1006" s="9"/>
      <c r="AP1006" s="9"/>
      <c r="AQ1006" s="9"/>
      <c r="AT1006" s="9"/>
      <c r="AU1006" s="9"/>
      <c r="AX1006" s="9"/>
      <c r="AY1006" s="9"/>
    </row>
    <row r="1007" spans="17:51" ht="12.75">
      <c r="Q1007" s="28"/>
      <c r="Y1007" s="28"/>
      <c r="AE1007" s="59"/>
      <c r="AH1007" s="9"/>
      <c r="AI1007" s="9"/>
      <c r="AL1007" s="9"/>
      <c r="AM1007" s="9"/>
      <c r="AP1007" s="9"/>
      <c r="AQ1007" s="9"/>
      <c r="AT1007" s="9"/>
      <c r="AU1007" s="9"/>
      <c r="AX1007" s="9"/>
      <c r="AY1007" s="9"/>
    </row>
    <row r="1008" spans="17:51" ht="12.75">
      <c r="Q1008" s="28"/>
      <c r="Y1008" s="28"/>
      <c r="AE1008" s="59"/>
      <c r="AH1008" s="9"/>
      <c r="AI1008" s="9"/>
      <c r="AL1008" s="9"/>
      <c r="AM1008" s="9"/>
      <c r="AP1008" s="9"/>
      <c r="AQ1008" s="9"/>
      <c r="AT1008" s="9"/>
      <c r="AU1008" s="9"/>
      <c r="AX1008" s="9"/>
      <c r="AY1008" s="9"/>
    </row>
    <row r="1009" spans="17:51" ht="12.75">
      <c r="Q1009" s="28"/>
      <c r="Y1009" s="28"/>
      <c r="AE1009" s="59"/>
      <c r="AH1009" s="9"/>
      <c r="AI1009" s="9"/>
      <c r="AL1009" s="9"/>
      <c r="AM1009" s="9"/>
      <c r="AP1009" s="9"/>
      <c r="AQ1009" s="9"/>
      <c r="AT1009" s="9"/>
      <c r="AU1009" s="9"/>
      <c r="AX1009" s="9"/>
      <c r="AY1009" s="9"/>
    </row>
    <row r="1010" spans="17:51" ht="12.75">
      <c r="Q1010" s="28"/>
      <c r="Y1010" s="28"/>
      <c r="AE1010" s="59"/>
      <c r="AH1010" s="9"/>
      <c r="AI1010" s="9"/>
      <c r="AL1010" s="9"/>
      <c r="AM1010" s="9"/>
      <c r="AP1010" s="9"/>
      <c r="AQ1010" s="9"/>
      <c r="AT1010" s="9"/>
      <c r="AU1010" s="9"/>
      <c r="AX1010" s="9"/>
      <c r="AY1010" s="9"/>
    </row>
    <row r="1011" spans="17:51" ht="12.75">
      <c r="Q1011" s="28"/>
      <c r="Y1011" s="28"/>
      <c r="AE1011" s="59"/>
      <c r="AH1011" s="9"/>
      <c r="AI1011" s="9"/>
      <c r="AL1011" s="9"/>
      <c r="AM1011" s="9"/>
      <c r="AP1011" s="9"/>
      <c r="AQ1011" s="9"/>
      <c r="AT1011" s="9"/>
      <c r="AU1011" s="9"/>
      <c r="AX1011" s="9"/>
      <c r="AY1011" s="9"/>
    </row>
    <row r="1012" spans="17:51" ht="12.75">
      <c r="Q1012" s="28"/>
      <c r="Y1012" s="28"/>
      <c r="AE1012" s="59"/>
      <c r="AH1012" s="9"/>
      <c r="AI1012" s="9"/>
      <c r="AL1012" s="9"/>
      <c r="AM1012" s="9"/>
      <c r="AP1012" s="9"/>
      <c r="AQ1012" s="9"/>
      <c r="AT1012" s="9"/>
      <c r="AU1012" s="9"/>
      <c r="AX1012" s="9"/>
      <c r="AY1012" s="9"/>
    </row>
    <row r="1013" spans="17:51" ht="12.75">
      <c r="Q1013" s="28"/>
      <c r="Y1013" s="28"/>
      <c r="AE1013" s="59"/>
      <c r="AH1013" s="9"/>
      <c r="AI1013" s="9"/>
      <c r="AL1013" s="9"/>
      <c r="AM1013" s="9"/>
      <c r="AP1013" s="9"/>
      <c r="AQ1013" s="9"/>
      <c r="AT1013" s="9"/>
      <c r="AU1013" s="9"/>
      <c r="AX1013" s="9"/>
      <c r="AY1013" s="9"/>
    </row>
    <row r="1014" spans="17:51" ht="12.75">
      <c r="Q1014" s="28"/>
      <c r="Y1014" s="28"/>
      <c r="AE1014" s="59"/>
      <c r="AH1014" s="9"/>
      <c r="AI1014" s="9"/>
      <c r="AL1014" s="9"/>
      <c r="AM1014" s="9"/>
      <c r="AP1014" s="9"/>
      <c r="AQ1014" s="9"/>
      <c r="AT1014" s="9"/>
      <c r="AU1014" s="9"/>
      <c r="AX1014" s="9"/>
      <c r="AY1014" s="9"/>
    </row>
    <row r="1015" spans="17:51" ht="12.75">
      <c r="Q1015" s="28"/>
      <c r="Y1015" s="28"/>
      <c r="AE1015" s="59"/>
      <c r="AH1015" s="9"/>
      <c r="AI1015" s="9"/>
      <c r="AL1015" s="9"/>
      <c r="AM1015" s="9"/>
      <c r="AP1015" s="9"/>
      <c r="AQ1015" s="9"/>
      <c r="AT1015" s="9"/>
      <c r="AU1015" s="9"/>
      <c r="AX1015" s="9"/>
      <c r="AY1015" s="9"/>
    </row>
    <row r="1016" spans="17:51" ht="12.75">
      <c r="Q1016" s="28"/>
      <c r="Y1016" s="28"/>
      <c r="AE1016" s="59"/>
      <c r="AH1016" s="9"/>
      <c r="AI1016" s="9"/>
      <c r="AL1016" s="9"/>
      <c r="AM1016" s="9"/>
      <c r="AP1016" s="9"/>
      <c r="AQ1016" s="9"/>
      <c r="AT1016" s="9"/>
      <c r="AU1016" s="9"/>
      <c r="AX1016" s="9"/>
      <c r="AY1016" s="9"/>
    </row>
    <row r="1017" spans="17:51" ht="12.75">
      <c r="Q1017" s="28"/>
      <c r="Y1017" s="28"/>
      <c r="AE1017" s="59"/>
      <c r="AH1017" s="9"/>
      <c r="AI1017" s="9"/>
      <c r="AL1017" s="9"/>
      <c r="AM1017" s="9"/>
      <c r="AP1017" s="9"/>
      <c r="AQ1017" s="9"/>
      <c r="AT1017" s="9"/>
      <c r="AU1017" s="9"/>
      <c r="AX1017" s="9"/>
      <c r="AY1017" s="9"/>
    </row>
    <row r="1018" spans="17:51" ht="12.75">
      <c r="Q1018" s="28"/>
      <c r="Y1018" s="28"/>
      <c r="AE1018" s="59"/>
      <c r="AH1018" s="9"/>
      <c r="AI1018" s="9"/>
      <c r="AL1018" s="9"/>
      <c r="AM1018" s="9"/>
      <c r="AP1018" s="9"/>
      <c r="AQ1018" s="9"/>
      <c r="AT1018" s="9"/>
      <c r="AU1018" s="9"/>
      <c r="AX1018" s="9"/>
      <c r="AY1018" s="9"/>
    </row>
    <row r="1019" spans="17:51" ht="12.75">
      <c r="Q1019" s="28"/>
      <c r="Y1019" s="28"/>
      <c r="AE1019" s="59"/>
      <c r="AH1019" s="9"/>
      <c r="AI1019" s="9"/>
      <c r="AL1019" s="9"/>
      <c r="AM1019" s="9"/>
      <c r="AP1019" s="9"/>
      <c r="AQ1019" s="9"/>
      <c r="AT1019" s="9"/>
      <c r="AU1019" s="9"/>
      <c r="AX1019" s="9"/>
      <c r="AY1019" s="9"/>
    </row>
    <row r="1020" spans="17:51" ht="12.75">
      <c r="Q1020" s="28"/>
      <c r="Y1020" s="28"/>
      <c r="AE1020" s="59"/>
      <c r="AH1020" s="9"/>
      <c r="AI1020" s="9"/>
      <c r="AL1020" s="9"/>
      <c r="AM1020" s="9"/>
      <c r="AP1020" s="9"/>
      <c r="AQ1020" s="9"/>
      <c r="AT1020" s="9"/>
      <c r="AU1020" s="9"/>
      <c r="AX1020" s="9"/>
      <c r="AY1020" s="9"/>
    </row>
    <row r="1021" spans="17:51" ht="12.75">
      <c r="Q1021" s="28"/>
      <c r="Y1021" s="28"/>
      <c r="AE1021" s="59"/>
      <c r="AH1021" s="9"/>
      <c r="AI1021" s="9"/>
      <c r="AL1021" s="9"/>
      <c r="AM1021" s="9"/>
      <c r="AP1021" s="9"/>
      <c r="AQ1021" s="9"/>
      <c r="AT1021" s="9"/>
      <c r="AU1021" s="9"/>
      <c r="AX1021" s="9"/>
      <c r="AY1021" s="9"/>
    </row>
    <row r="1022" spans="17:51" ht="12.75">
      <c r="Q1022" s="28"/>
      <c r="Y1022" s="28"/>
      <c r="AE1022" s="59"/>
      <c r="AH1022" s="9"/>
      <c r="AI1022" s="9"/>
      <c r="AL1022" s="9"/>
      <c r="AM1022" s="9"/>
      <c r="AP1022" s="9"/>
      <c r="AQ1022" s="9"/>
      <c r="AT1022" s="9"/>
      <c r="AU1022" s="9"/>
      <c r="AX1022" s="9"/>
      <c r="AY1022" s="9"/>
    </row>
    <row r="1023" spans="17:51" ht="12.75">
      <c r="Q1023" s="28"/>
      <c r="Y1023" s="28"/>
      <c r="AE1023" s="59"/>
      <c r="AH1023" s="9"/>
      <c r="AI1023" s="9"/>
      <c r="AL1023" s="9"/>
      <c r="AM1023" s="9"/>
      <c r="AP1023" s="9"/>
      <c r="AQ1023" s="9"/>
      <c r="AT1023" s="9"/>
      <c r="AU1023" s="9"/>
      <c r="AX1023" s="9"/>
      <c r="AY1023" s="9"/>
    </row>
    <row r="1024" spans="17:51" ht="12.75">
      <c r="Q1024" s="28"/>
      <c r="Y1024" s="28"/>
      <c r="AE1024" s="59"/>
      <c r="AH1024" s="9"/>
      <c r="AI1024" s="9"/>
      <c r="AL1024" s="9"/>
      <c r="AM1024" s="9"/>
      <c r="AP1024" s="9"/>
      <c r="AQ1024" s="9"/>
      <c r="AT1024" s="9"/>
      <c r="AU1024" s="9"/>
      <c r="AX1024" s="9"/>
      <c r="AY1024" s="9"/>
    </row>
    <row r="1025" spans="17:51" ht="12.75">
      <c r="Q1025" s="28"/>
      <c r="Y1025" s="28"/>
      <c r="AE1025" s="59"/>
      <c r="AH1025" s="9"/>
      <c r="AI1025" s="9"/>
      <c r="AL1025" s="9"/>
      <c r="AM1025" s="9"/>
      <c r="AP1025" s="9"/>
      <c r="AQ1025" s="9"/>
      <c r="AT1025" s="9"/>
      <c r="AU1025" s="9"/>
      <c r="AX1025" s="9"/>
      <c r="AY1025" s="9"/>
    </row>
    <row r="1026" spans="17:51" ht="12.75">
      <c r="Q1026" s="28"/>
      <c r="Y1026" s="28"/>
      <c r="AE1026" s="59"/>
      <c r="AH1026" s="9"/>
      <c r="AI1026" s="9"/>
      <c r="AL1026" s="9"/>
      <c r="AM1026" s="9"/>
      <c r="AP1026" s="9"/>
      <c r="AQ1026" s="9"/>
      <c r="AT1026" s="9"/>
      <c r="AU1026" s="9"/>
      <c r="AX1026" s="9"/>
      <c r="AY1026" s="9"/>
    </row>
    <row r="1027" spans="17:51" ht="12.75">
      <c r="Q1027" s="28"/>
      <c r="Y1027" s="28"/>
      <c r="AE1027" s="59"/>
      <c r="AH1027" s="9"/>
      <c r="AI1027" s="9"/>
      <c r="AL1027" s="9"/>
      <c r="AM1027" s="9"/>
      <c r="AP1027" s="9"/>
      <c r="AQ1027" s="9"/>
      <c r="AT1027" s="9"/>
      <c r="AU1027" s="9"/>
      <c r="AX1027" s="9"/>
      <c r="AY1027" s="9"/>
    </row>
    <row r="1028" spans="17:51" ht="12.75">
      <c r="Q1028" s="28"/>
      <c r="Y1028" s="28"/>
      <c r="AE1028" s="59"/>
      <c r="AH1028" s="9"/>
      <c r="AI1028" s="9"/>
      <c r="AL1028" s="9"/>
      <c r="AM1028" s="9"/>
      <c r="AP1028" s="9"/>
      <c r="AQ1028" s="9"/>
      <c r="AT1028" s="9"/>
      <c r="AU1028" s="9"/>
      <c r="AX1028" s="9"/>
      <c r="AY1028" s="9"/>
    </row>
    <row r="1029" spans="17:51" ht="12.75">
      <c r="Q1029" s="28"/>
      <c r="Y1029" s="28"/>
      <c r="AE1029" s="59"/>
      <c r="AH1029" s="9"/>
      <c r="AI1029" s="9"/>
      <c r="AL1029" s="9"/>
      <c r="AM1029" s="9"/>
      <c r="AP1029" s="9"/>
      <c r="AQ1029" s="9"/>
      <c r="AT1029" s="9"/>
      <c r="AU1029" s="9"/>
      <c r="AX1029" s="9"/>
      <c r="AY1029" s="9"/>
    </row>
    <row r="1030" spans="17:51" ht="12.75">
      <c r="Q1030" s="28"/>
      <c r="Y1030" s="28"/>
      <c r="AE1030" s="59"/>
      <c r="AH1030" s="9"/>
      <c r="AI1030" s="9"/>
      <c r="AL1030" s="9"/>
      <c r="AM1030" s="9"/>
      <c r="AP1030" s="9"/>
      <c r="AQ1030" s="9"/>
      <c r="AT1030" s="9"/>
      <c r="AU1030" s="9"/>
      <c r="AX1030" s="9"/>
      <c r="AY1030" s="9"/>
    </row>
    <row r="1031" spans="17:51" ht="12.75">
      <c r="Q1031" s="28"/>
      <c r="Y1031" s="28"/>
      <c r="AE1031" s="59"/>
      <c r="AH1031" s="9"/>
      <c r="AI1031" s="9"/>
      <c r="AL1031" s="9"/>
      <c r="AM1031" s="9"/>
      <c r="AP1031" s="9"/>
      <c r="AQ1031" s="9"/>
      <c r="AT1031" s="9"/>
      <c r="AU1031" s="9"/>
      <c r="AX1031" s="9"/>
      <c r="AY1031" s="9"/>
    </row>
    <row r="1032" spans="17:51" ht="12.75">
      <c r="Q1032" s="28"/>
      <c r="Y1032" s="28"/>
      <c r="AE1032" s="59"/>
      <c r="AH1032" s="9"/>
      <c r="AI1032" s="9"/>
      <c r="AL1032" s="9"/>
      <c r="AM1032" s="9"/>
      <c r="AP1032" s="9"/>
      <c r="AQ1032" s="9"/>
      <c r="AT1032" s="9"/>
      <c r="AU1032" s="9"/>
      <c r="AX1032" s="9"/>
      <c r="AY1032" s="9"/>
    </row>
    <row r="1033" spans="17:51" ht="12.75">
      <c r="Q1033" s="28"/>
      <c r="Y1033" s="28"/>
      <c r="AE1033" s="59"/>
      <c r="AH1033" s="9"/>
      <c r="AI1033" s="9"/>
      <c r="AL1033" s="9"/>
      <c r="AM1033" s="9"/>
      <c r="AP1033" s="9"/>
      <c r="AQ1033" s="9"/>
      <c r="AT1033" s="9"/>
      <c r="AU1033" s="9"/>
      <c r="AX1033" s="9"/>
      <c r="AY1033" s="9"/>
    </row>
    <row r="1034" spans="17:51" ht="12.75">
      <c r="Q1034" s="28"/>
      <c r="Y1034" s="28"/>
      <c r="AE1034" s="59"/>
      <c r="AH1034" s="9"/>
      <c r="AI1034" s="9"/>
      <c r="AL1034" s="9"/>
      <c r="AM1034" s="9"/>
      <c r="AP1034" s="9"/>
      <c r="AQ1034" s="9"/>
      <c r="AT1034" s="9"/>
      <c r="AU1034" s="9"/>
      <c r="AX1034" s="9"/>
      <c r="AY1034" s="9"/>
    </row>
    <row r="1035" spans="17:51" ht="12.75">
      <c r="Q1035" s="28"/>
      <c r="Y1035" s="28"/>
      <c r="AE1035" s="59"/>
      <c r="AH1035" s="9"/>
      <c r="AI1035" s="9"/>
      <c r="AL1035" s="9"/>
      <c r="AM1035" s="9"/>
      <c r="AP1035" s="9"/>
      <c r="AQ1035" s="9"/>
      <c r="AT1035" s="9"/>
      <c r="AU1035" s="9"/>
      <c r="AX1035" s="9"/>
      <c r="AY1035" s="9"/>
    </row>
    <row r="1036" spans="17:51" ht="12.75">
      <c r="Q1036" s="28"/>
      <c r="Y1036" s="28"/>
      <c r="AE1036" s="59"/>
      <c r="AH1036" s="9"/>
      <c r="AI1036" s="9"/>
      <c r="AL1036" s="9"/>
      <c r="AM1036" s="9"/>
      <c r="AP1036" s="9"/>
      <c r="AQ1036" s="9"/>
      <c r="AT1036" s="9"/>
      <c r="AU1036" s="9"/>
      <c r="AX1036" s="9"/>
      <c r="AY1036" s="9"/>
    </row>
    <row r="1037" spans="17:51" ht="12.75">
      <c r="Q1037" s="28"/>
      <c r="Y1037" s="28"/>
      <c r="AE1037" s="59"/>
      <c r="AH1037" s="9"/>
      <c r="AI1037" s="9"/>
      <c r="AL1037" s="9"/>
      <c r="AM1037" s="9"/>
      <c r="AP1037" s="9"/>
      <c r="AQ1037" s="9"/>
      <c r="AT1037" s="9"/>
      <c r="AU1037" s="9"/>
      <c r="AX1037" s="9"/>
      <c r="AY1037" s="9"/>
    </row>
    <row r="1038" spans="17:51" ht="12.75">
      <c r="Q1038" s="28"/>
      <c r="Y1038" s="28"/>
      <c r="AE1038" s="59"/>
      <c r="AH1038" s="9"/>
      <c r="AI1038" s="9"/>
      <c r="AL1038" s="9"/>
      <c r="AM1038" s="9"/>
      <c r="AP1038" s="9"/>
      <c r="AQ1038" s="9"/>
      <c r="AT1038" s="9"/>
      <c r="AU1038" s="9"/>
      <c r="AX1038" s="9"/>
      <c r="AY1038" s="9"/>
    </row>
    <row r="1039" spans="17:51" ht="12.75">
      <c r="Q1039" s="28"/>
      <c r="Y1039" s="28"/>
      <c r="AE1039" s="59"/>
      <c r="AH1039" s="9"/>
      <c r="AI1039" s="9"/>
      <c r="AL1039" s="9"/>
      <c r="AM1039" s="9"/>
      <c r="AP1039" s="9"/>
      <c r="AQ1039" s="9"/>
      <c r="AT1039" s="9"/>
      <c r="AU1039" s="9"/>
      <c r="AX1039" s="9"/>
      <c r="AY1039" s="9"/>
    </row>
    <row r="1040" spans="17:51" ht="12.75">
      <c r="Q1040" s="28"/>
      <c r="Y1040" s="28"/>
      <c r="AE1040" s="59"/>
      <c r="AH1040" s="9"/>
      <c r="AI1040" s="9"/>
      <c r="AL1040" s="9"/>
      <c r="AM1040" s="9"/>
      <c r="AP1040" s="9"/>
      <c r="AQ1040" s="9"/>
      <c r="AT1040" s="9"/>
      <c r="AU1040" s="9"/>
      <c r="AX1040" s="9"/>
      <c r="AY1040" s="9"/>
    </row>
    <row r="1041" spans="17:51" ht="12.75">
      <c r="Q1041" s="28"/>
      <c r="Y1041" s="28"/>
      <c r="AE1041" s="59"/>
      <c r="AH1041" s="9"/>
      <c r="AI1041" s="9"/>
      <c r="AL1041" s="9"/>
      <c r="AM1041" s="9"/>
      <c r="AP1041" s="9"/>
      <c r="AQ1041" s="9"/>
      <c r="AT1041" s="9"/>
      <c r="AU1041" s="9"/>
      <c r="AX1041" s="9"/>
      <c r="AY1041" s="9"/>
    </row>
    <row r="1042" spans="17:51" ht="12.75">
      <c r="Q1042" s="28"/>
      <c r="Y1042" s="28"/>
      <c r="AE1042" s="59"/>
      <c r="AH1042" s="9"/>
      <c r="AI1042" s="9"/>
      <c r="AL1042" s="9"/>
      <c r="AM1042" s="9"/>
      <c r="AP1042" s="9"/>
      <c r="AQ1042" s="9"/>
      <c r="AT1042" s="9"/>
      <c r="AU1042" s="9"/>
      <c r="AX1042" s="9"/>
      <c r="AY1042" s="9"/>
    </row>
    <row r="1043" spans="17:51" ht="12.75">
      <c r="Q1043" s="28"/>
      <c r="Y1043" s="28"/>
      <c r="AE1043" s="59"/>
      <c r="AH1043" s="9"/>
      <c r="AI1043" s="9"/>
      <c r="AL1043" s="9"/>
      <c r="AM1043" s="9"/>
      <c r="AP1043" s="9"/>
      <c r="AQ1043" s="9"/>
      <c r="AT1043" s="9"/>
      <c r="AU1043" s="9"/>
      <c r="AX1043" s="9"/>
      <c r="AY1043" s="9"/>
    </row>
    <row r="1044" spans="17:51" ht="12.75">
      <c r="Q1044" s="28"/>
      <c r="Y1044" s="28"/>
      <c r="AE1044" s="59"/>
      <c r="AH1044" s="9"/>
      <c r="AI1044" s="9"/>
      <c r="AL1044" s="9"/>
      <c r="AM1044" s="9"/>
      <c r="AP1044" s="9"/>
      <c r="AQ1044" s="9"/>
      <c r="AT1044" s="9"/>
      <c r="AU1044" s="9"/>
      <c r="AX1044" s="9"/>
      <c r="AY1044" s="9"/>
    </row>
    <row r="1045" spans="17:51" ht="12.75">
      <c r="Q1045" s="28"/>
      <c r="Y1045" s="28"/>
      <c r="AE1045" s="59"/>
      <c r="AH1045" s="9"/>
      <c r="AI1045" s="9"/>
      <c r="AL1045" s="9"/>
      <c r="AM1045" s="9"/>
      <c r="AP1045" s="9"/>
      <c r="AQ1045" s="9"/>
      <c r="AT1045" s="9"/>
      <c r="AU1045" s="9"/>
      <c r="AX1045" s="9"/>
      <c r="AY1045" s="9"/>
    </row>
    <row r="1046" spans="17:51" ht="12.75">
      <c r="Q1046" s="28"/>
      <c r="Y1046" s="28"/>
      <c r="AE1046" s="59"/>
      <c r="AH1046" s="9"/>
      <c r="AI1046" s="9"/>
      <c r="AL1046" s="9"/>
      <c r="AM1046" s="9"/>
      <c r="AP1046" s="9"/>
      <c r="AQ1046" s="9"/>
      <c r="AT1046" s="9"/>
      <c r="AU1046" s="9"/>
      <c r="AX1046" s="9"/>
      <c r="AY1046" s="9"/>
    </row>
    <row r="1047" spans="17:51" ht="12.75">
      <c r="Q1047" s="28"/>
      <c r="Y1047" s="28"/>
      <c r="AE1047" s="59"/>
      <c r="AH1047" s="9"/>
      <c r="AI1047" s="9"/>
      <c r="AL1047" s="9"/>
      <c r="AM1047" s="9"/>
      <c r="AP1047" s="9"/>
      <c r="AQ1047" s="9"/>
      <c r="AT1047" s="9"/>
      <c r="AU1047" s="9"/>
      <c r="AX1047" s="9"/>
      <c r="AY1047" s="9"/>
    </row>
    <row r="1048" spans="17:51" ht="12.75">
      <c r="Q1048" s="28"/>
      <c r="Y1048" s="28"/>
      <c r="AE1048" s="59"/>
      <c r="AH1048" s="9"/>
      <c r="AI1048" s="9"/>
      <c r="AL1048" s="9"/>
      <c r="AM1048" s="9"/>
      <c r="AP1048" s="9"/>
      <c r="AQ1048" s="9"/>
      <c r="AT1048" s="9"/>
      <c r="AU1048" s="9"/>
      <c r="AX1048" s="9"/>
      <c r="AY1048" s="9"/>
    </row>
    <row r="1049" spans="17:51" ht="12.75">
      <c r="Q1049" s="28"/>
      <c r="Y1049" s="28"/>
      <c r="AE1049" s="59"/>
      <c r="AH1049" s="9"/>
      <c r="AI1049" s="9"/>
      <c r="AL1049" s="9"/>
      <c r="AM1049" s="9"/>
      <c r="AP1049" s="9"/>
      <c r="AQ1049" s="9"/>
      <c r="AT1049" s="9"/>
      <c r="AU1049" s="9"/>
      <c r="AX1049" s="9"/>
      <c r="AY1049" s="9"/>
    </row>
    <row r="1050" spans="17:51" ht="12.75">
      <c r="Q1050" s="28"/>
      <c r="Y1050" s="28"/>
      <c r="AE1050" s="59"/>
      <c r="AH1050" s="9"/>
      <c r="AI1050" s="9"/>
      <c r="AL1050" s="9"/>
      <c r="AM1050" s="9"/>
      <c r="AP1050" s="9"/>
      <c r="AQ1050" s="9"/>
      <c r="AT1050" s="9"/>
      <c r="AU1050" s="9"/>
      <c r="AX1050" s="9"/>
      <c r="AY1050" s="9"/>
    </row>
    <row r="1051" spans="17:51" ht="12.75">
      <c r="Q1051" s="28"/>
      <c r="Y1051" s="28"/>
      <c r="AE1051" s="59"/>
      <c r="AH1051" s="9"/>
      <c r="AI1051" s="9"/>
      <c r="AL1051" s="9"/>
      <c r="AM1051" s="9"/>
      <c r="AP1051" s="9"/>
      <c r="AQ1051" s="9"/>
      <c r="AT1051" s="9"/>
      <c r="AU1051" s="9"/>
      <c r="AX1051" s="9"/>
      <c r="AY1051" s="9"/>
    </row>
    <row r="1052" spans="17:51" ht="12.75">
      <c r="Q1052" s="28"/>
      <c r="Y1052" s="28"/>
      <c r="AE1052" s="59"/>
      <c r="AH1052" s="9"/>
      <c r="AI1052" s="9"/>
      <c r="AL1052" s="9"/>
      <c r="AM1052" s="9"/>
      <c r="AP1052" s="9"/>
      <c r="AQ1052" s="9"/>
      <c r="AT1052" s="9"/>
      <c r="AU1052" s="9"/>
      <c r="AX1052" s="9"/>
      <c r="AY1052" s="9"/>
    </row>
    <row r="1053" spans="17:51" ht="12.75">
      <c r="Q1053" s="28"/>
      <c r="Y1053" s="28"/>
      <c r="AE1053" s="59"/>
      <c r="AH1053" s="9"/>
      <c r="AI1053" s="9"/>
      <c r="AL1053" s="9"/>
      <c r="AM1053" s="9"/>
      <c r="AP1053" s="9"/>
      <c r="AQ1053" s="9"/>
      <c r="AT1053" s="9"/>
      <c r="AU1053" s="9"/>
      <c r="AX1053" s="9"/>
      <c r="AY1053" s="9"/>
    </row>
    <row r="1054" spans="17:51" ht="12.75">
      <c r="Q1054" s="28"/>
      <c r="Y1054" s="28"/>
      <c r="AE1054" s="59"/>
      <c r="AH1054" s="9"/>
      <c r="AI1054" s="9"/>
      <c r="AL1054" s="9"/>
      <c r="AM1054" s="9"/>
      <c r="AP1054" s="9"/>
      <c r="AQ1054" s="9"/>
      <c r="AT1054" s="9"/>
      <c r="AU1054" s="9"/>
      <c r="AX1054" s="9"/>
      <c r="AY1054" s="9"/>
    </row>
    <row r="1055" spans="17:51" ht="12.75">
      <c r="Q1055" s="28"/>
      <c r="Y1055" s="28"/>
      <c r="AE1055" s="59"/>
      <c r="AH1055" s="9"/>
      <c r="AI1055" s="9"/>
      <c r="AL1055" s="9"/>
      <c r="AM1055" s="9"/>
      <c r="AP1055" s="9"/>
      <c r="AQ1055" s="9"/>
      <c r="AT1055" s="9"/>
      <c r="AU1055" s="9"/>
      <c r="AX1055" s="9"/>
      <c r="AY1055" s="9"/>
    </row>
    <row r="1056" spans="17:51" ht="12.75">
      <c r="Q1056" s="28"/>
      <c r="Y1056" s="28"/>
      <c r="AE1056" s="59"/>
      <c r="AH1056" s="9"/>
      <c r="AI1056" s="9"/>
      <c r="AL1056" s="9"/>
      <c r="AM1056" s="9"/>
      <c r="AP1056" s="9"/>
      <c r="AQ1056" s="9"/>
      <c r="AT1056" s="9"/>
      <c r="AU1056" s="9"/>
      <c r="AX1056" s="9"/>
      <c r="AY1056" s="9"/>
    </row>
    <row r="1057" spans="17:51" ht="12.75">
      <c r="Q1057" s="28"/>
      <c r="Y1057" s="28"/>
      <c r="AE1057" s="59"/>
      <c r="AH1057" s="9"/>
      <c r="AI1057" s="9"/>
      <c r="AL1057" s="9"/>
      <c r="AM1057" s="9"/>
      <c r="AP1057" s="9"/>
      <c r="AQ1057" s="9"/>
      <c r="AT1057" s="9"/>
      <c r="AU1057" s="9"/>
      <c r="AX1057" s="9"/>
      <c r="AY1057" s="9"/>
    </row>
    <row r="1058" spans="17:51" ht="12.75">
      <c r="Q1058" s="28"/>
      <c r="Y1058" s="28"/>
      <c r="AE1058" s="59"/>
      <c r="AH1058" s="9"/>
      <c r="AI1058" s="9"/>
      <c r="AL1058" s="9"/>
      <c r="AM1058" s="9"/>
      <c r="AP1058" s="9"/>
      <c r="AQ1058" s="9"/>
      <c r="AT1058" s="9"/>
      <c r="AU1058" s="9"/>
      <c r="AX1058" s="9"/>
      <c r="AY1058" s="9"/>
    </row>
    <row r="1059" spans="17:51" ht="12.75">
      <c r="Q1059" s="28"/>
      <c r="Y1059" s="28"/>
      <c r="AE1059" s="59"/>
      <c r="AH1059" s="9"/>
      <c r="AI1059" s="9"/>
      <c r="AL1059" s="9"/>
      <c r="AM1059" s="9"/>
      <c r="AP1059" s="9"/>
      <c r="AQ1059" s="9"/>
      <c r="AT1059" s="9"/>
      <c r="AU1059" s="9"/>
      <c r="AX1059" s="9"/>
      <c r="AY1059" s="9"/>
    </row>
    <row r="1060" spans="17:51" ht="12.75">
      <c r="Q1060" s="28"/>
      <c r="Y1060" s="28"/>
      <c r="AE1060" s="59"/>
      <c r="AH1060" s="9"/>
      <c r="AI1060" s="9"/>
      <c r="AL1060" s="9"/>
      <c r="AM1060" s="9"/>
      <c r="AP1060" s="9"/>
      <c r="AQ1060" s="9"/>
      <c r="AT1060" s="9"/>
      <c r="AU1060" s="9"/>
      <c r="AX1060" s="9"/>
      <c r="AY1060" s="9"/>
    </row>
    <row r="1061" spans="17:51" ht="12.75">
      <c r="Q1061" s="28"/>
      <c r="Y1061" s="28"/>
      <c r="AE1061" s="59"/>
      <c r="AH1061" s="9"/>
      <c r="AI1061" s="9"/>
      <c r="AL1061" s="9"/>
      <c r="AM1061" s="9"/>
      <c r="AP1061" s="9"/>
      <c r="AQ1061" s="9"/>
      <c r="AT1061" s="9"/>
      <c r="AU1061" s="9"/>
      <c r="AX1061" s="9"/>
      <c r="AY1061" s="9"/>
    </row>
    <row r="1062" spans="17:51" ht="12.75">
      <c r="Q1062" s="28"/>
      <c r="Y1062" s="28"/>
      <c r="AE1062" s="59"/>
      <c r="AH1062" s="9"/>
      <c r="AI1062" s="9"/>
      <c r="AL1062" s="9"/>
      <c r="AM1062" s="9"/>
      <c r="AP1062" s="9"/>
      <c r="AQ1062" s="9"/>
      <c r="AT1062" s="9"/>
      <c r="AU1062" s="9"/>
      <c r="AX1062" s="9"/>
      <c r="AY1062" s="9"/>
    </row>
    <row r="1063" spans="17:51" ht="12.75">
      <c r="Q1063" s="28"/>
      <c r="Y1063" s="28"/>
      <c r="AE1063" s="59"/>
      <c r="AH1063" s="9"/>
      <c r="AI1063" s="9"/>
      <c r="AL1063" s="9"/>
      <c r="AM1063" s="9"/>
      <c r="AP1063" s="9"/>
      <c r="AQ1063" s="9"/>
      <c r="AT1063" s="9"/>
      <c r="AU1063" s="9"/>
      <c r="AX1063" s="9"/>
      <c r="AY1063" s="9"/>
    </row>
    <row r="1064" spans="17:51" ht="12.75">
      <c r="Q1064" s="28"/>
      <c r="Y1064" s="28"/>
      <c r="AE1064" s="59"/>
      <c r="AH1064" s="9"/>
      <c r="AI1064" s="9"/>
      <c r="AL1064" s="9"/>
      <c r="AM1064" s="9"/>
      <c r="AP1064" s="9"/>
      <c r="AQ1064" s="9"/>
      <c r="AT1064" s="9"/>
      <c r="AU1064" s="9"/>
      <c r="AX1064" s="9"/>
      <c r="AY1064" s="9"/>
    </row>
    <row r="1065" spans="17:51" ht="12.75">
      <c r="Q1065" s="28"/>
      <c r="Y1065" s="28"/>
      <c r="AE1065" s="59"/>
      <c r="AH1065" s="9"/>
      <c r="AI1065" s="9"/>
      <c r="AL1065" s="9"/>
      <c r="AM1065" s="9"/>
      <c r="AP1065" s="9"/>
      <c r="AQ1065" s="9"/>
      <c r="AT1065" s="9"/>
      <c r="AU1065" s="9"/>
      <c r="AX1065" s="9"/>
      <c r="AY1065" s="9"/>
    </row>
    <row r="1066" spans="17:51" ht="12.75">
      <c r="Q1066" s="28"/>
      <c r="Y1066" s="28"/>
      <c r="AE1066" s="59"/>
      <c r="AH1066" s="9"/>
      <c r="AI1066" s="9"/>
      <c r="AL1066" s="9"/>
      <c r="AM1066" s="9"/>
      <c r="AP1066" s="9"/>
      <c r="AQ1066" s="9"/>
      <c r="AT1066" s="9"/>
      <c r="AU1066" s="9"/>
      <c r="AX1066" s="9"/>
      <c r="AY1066" s="9"/>
    </row>
    <row r="1067" spans="17:51" ht="12.75">
      <c r="Q1067" s="28"/>
      <c r="Y1067" s="28"/>
      <c r="AE1067" s="59"/>
      <c r="AH1067" s="9"/>
      <c r="AI1067" s="9"/>
      <c r="AL1067" s="9"/>
      <c r="AM1067" s="9"/>
      <c r="AP1067" s="9"/>
      <c r="AQ1067" s="9"/>
      <c r="AT1067" s="9"/>
      <c r="AU1067" s="9"/>
      <c r="AX1067" s="9"/>
      <c r="AY1067" s="9"/>
    </row>
    <row r="1068" spans="17:51" ht="12.75">
      <c r="Q1068" s="28"/>
      <c r="Y1068" s="28"/>
      <c r="AE1068" s="59"/>
      <c r="AH1068" s="9"/>
      <c r="AI1068" s="9"/>
      <c r="AL1068" s="9"/>
      <c r="AM1068" s="9"/>
      <c r="AP1068" s="9"/>
      <c r="AQ1068" s="9"/>
      <c r="AT1068" s="9"/>
      <c r="AU1068" s="9"/>
      <c r="AX1068" s="9"/>
      <c r="AY1068" s="9"/>
    </row>
    <row r="1069" spans="17:51" ht="12.75">
      <c r="Q1069" s="28"/>
      <c r="Y1069" s="28"/>
      <c r="AE1069" s="59"/>
      <c r="AH1069" s="9"/>
      <c r="AI1069" s="9"/>
      <c r="AL1069" s="9"/>
      <c r="AM1069" s="9"/>
      <c r="AP1069" s="9"/>
      <c r="AQ1069" s="9"/>
      <c r="AT1069" s="9"/>
      <c r="AU1069" s="9"/>
      <c r="AX1069" s="9"/>
      <c r="AY1069" s="9"/>
    </row>
    <row r="1070" spans="17:51" ht="12.75">
      <c r="Q1070" s="28"/>
      <c r="Y1070" s="28"/>
      <c r="AE1070" s="59"/>
      <c r="AH1070" s="9"/>
      <c r="AI1070" s="9"/>
      <c r="AL1070" s="9"/>
      <c r="AM1070" s="9"/>
      <c r="AP1070" s="9"/>
      <c r="AQ1070" s="9"/>
      <c r="AT1070" s="9"/>
      <c r="AU1070" s="9"/>
      <c r="AX1070" s="9"/>
      <c r="AY1070" s="9"/>
    </row>
    <row r="1071" spans="17:51" ht="12.75">
      <c r="Q1071" s="28"/>
      <c r="Y1071" s="28"/>
      <c r="AE1071" s="59"/>
      <c r="AH1071" s="9"/>
      <c r="AI1071" s="9"/>
      <c r="AL1071" s="9"/>
      <c r="AM1071" s="9"/>
      <c r="AP1071" s="9"/>
      <c r="AQ1071" s="9"/>
      <c r="AT1071" s="9"/>
      <c r="AU1071" s="9"/>
      <c r="AX1071" s="9"/>
      <c r="AY1071" s="9"/>
    </row>
    <row r="1072" spans="17:51" ht="12.75">
      <c r="Q1072" s="28"/>
      <c r="Y1072" s="28"/>
      <c r="AE1072" s="59"/>
      <c r="AH1072" s="9"/>
      <c r="AI1072" s="9"/>
      <c r="AL1072" s="9"/>
      <c r="AM1072" s="9"/>
      <c r="AP1072" s="9"/>
      <c r="AQ1072" s="9"/>
      <c r="AT1072" s="9"/>
      <c r="AU1072" s="9"/>
      <c r="AX1072" s="9"/>
      <c r="AY1072" s="9"/>
    </row>
    <row r="1073" spans="17:51" ht="12.75">
      <c r="Q1073" s="28"/>
      <c r="Y1073" s="28"/>
      <c r="AE1073" s="59"/>
      <c r="AH1073" s="9"/>
      <c r="AI1073" s="9"/>
      <c r="AL1073" s="9"/>
      <c r="AM1073" s="9"/>
      <c r="AP1073" s="9"/>
      <c r="AQ1073" s="9"/>
      <c r="AT1073" s="9"/>
      <c r="AU1073" s="9"/>
      <c r="AX1073" s="9"/>
      <c r="AY1073" s="9"/>
    </row>
    <row r="1074" spans="17:51" ht="12.75">
      <c r="Q1074" s="28"/>
      <c r="Y1074" s="28"/>
      <c r="AE1074" s="59"/>
      <c r="AH1074" s="9"/>
      <c r="AI1074" s="9"/>
      <c r="AL1074" s="9"/>
      <c r="AM1074" s="9"/>
      <c r="AP1074" s="9"/>
      <c r="AQ1074" s="9"/>
      <c r="AT1074" s="9"/>
      <c r="AU1074" s="9"/>
      <c r="AX1074" s="9"/>
      <c r="AY1074" s="9"/>
    </row>
    <row r="1075" spans="17:51" ht="12.75">
      <c r="Q1075" s="28"/>
      <c r="Y1075" s="28"/>
      <c r="AE1075" s="59"/>
      <c r="AH1075" s="9"/>
      <c r="AI1075" s="9"/>
      <c r="AL1075" s="9"/>
      <c r="AM1075" s="9"/>
      <c r="AP1075" s="9"/>
      <c r="AQ1075" s="9"/>
      <c r="AT1075" s="9"/>
      <c r="AU1075" s="9"/>
      <c r="AX1075" s="9"/>
      <c r="AY1075" s="9"/>
    </row>
    <row r="1076" spans="17:51" ht="12.75">
      <c r="Q1076" s="28"/>
      <c r="Y1076" s="28"/>
      <c r="AE1076" s="59"/>
      <c r="AH1076" s="9"/>
      <c r="AI1076" s="9"/>
      <c r="AL1076" s="9"/>
      <c r="AM1076" s="9"/>
      <c r="AP1076" s="9"/>
      <c r="AQ1076" s="9"/>
      <c r="AT1076" s="9"/>
      <c r="AU1076" s="9"/>
      <c r="AX1076" s="9"/>
      <c r="AY1076" s="9"/>
    </row>
    <row r="1077" spans="17:51" ht="12.75">
      <c r="Q1077" s="28"/>
      <c r="Y1077" s="28"/>
      <c r="AE1077" s="59"/>
      <c r="AH1077" s="9"/>
      <c r="AI1077" s="9"/>
      <c r="AL1077" s="9"/>
      <c r="AM1077" s="9"/>
      <c r="AP1077" s="9"/>
      <c r="AQ1077" s="9"/>
      <c r="AT1077" s="9"/>
      <c r="AU1077" s="9"/>
      <c r="AX1077" s="9"/>
      <c r="AY1077" s="9"/>
    </row>
    <row r="1078" spans="17:51" ht="12.75">
      <c r="Q1078" s="28"/>
      <c r="Y1078" s="28"/>
      <c r="AE1078" s="59"/>
      <c r="AH1078" s="9"/>
      <c r="AI1078" s="9"/>
      <c r="AL1078" s="9"/>
      <c r="AM1078" s="9"/>
      <c r="AP1078" s="9"/>
      <c r="AQ1078" s="9"/>
      <c r="AT1078" s="9"/>
      <c r="AU1078" s="9"/>
      <c r="AX1078" s="9"/>
      <c r="AY1078" s="9"/>
    </row>
    <row r="1079" spans="17:51" ht="12.75">
      <c r="Q1079" s="28"/>
      <c r="Y1079" s="28"/>
      <c r="AE1079" s="59"/>
      <c r="AH1079" s="9"/>
      <c r="AI1079" s="9"/>
      <c r="AL1079" s="9"/>
      <c r="AM1079" s="9"/>
      <c r="AP1079" s="9"/>
      <c r="AQ1079" s="9"/>
      <c r="AT1079" s="9"/>
      <c r="AU1079" s="9"/>
      <c r="AX1079" s="9"/>
      <c r="AY1079" s="9"/>
    </row>
    <row r="1080" spans="17:51" ht="12.75">
      <c r="Q1080" s="28"/>
      <c r="Y1080" s="28"/>
      <c r="AE1080" s="59"/>
      <c r="AH1080" s="9"/>
      <c r="AI1080" s="9"/>
      <c r="AL1080" s="9"/>
      <c r="AM1080" s="9"/>
      <c r="AP1080" s="9"/>
      <c r="AQ1080" s="9"/>
      <c r="AT1080" s="9"/>
      <c r="AU1080" s="9"/>
      <c r="AX1080" s="9"/>
      <c r="AY1080" s="9"/>
    </row>
    <row r="1081" spans="17:51" ht="12.75">
      <c r="Q1081" s="28"/>
      <c r="Y1081" s="28"/>
      <c r="AE1081" s="59"/>
      <c r="AH1081" s="9"/>
      <c r="AI1081" s="9"/>
      <c r="AL1081" s="9"/>
      <c r="AM1081" s="9"/>
      <c r="AP1081" s="9"/>
      <c r="AQ1081" s="9"/>
      <c r="AT1081" s="9"/>
      <c r="AU1081" s="9"/>
      <c r="AX1081" s="9"/>
      <c r="AY1081" s="9"/>
    </row>
    <row r="1082" spans="17:51" ht="12.75">
      <c r="Q1082" s="28"/>
      <c r="Y1082" s="28"/>
      <c r="AE1082" s="59"/>
      <c r="AH1082" s="9"/>
      <c r="AI1082" s="9"/>
      <c r="AL1082" s="9"/>
      <c r="AM1082" s="9"/>
      <c r="AP1082" s="9"/>
      <c r="AQ1082" s="9"/>
      <c r="AT1082" s="9"/>
      <c r="AU1082" s="9"/>
      <c r="AX1082" s="9"/>
      <c r="AY1082" s="9"/>
    </row>
    <row r="1083" spans="17:51" ht="12.75">
      <c r="Q1083" s="28"/>
      <c r="Y1083" s="28"/>
      <c r="AE1083" s="59"/>
      <c r="AH1083" s="9"/>
      <c r="AI1083" s="9"/>
      <c r="AL1083" s="9"/>
      <c r="AM1083" s="9"/>
      <c r="AP1083" s="9"/>
      <c r="AQ1083" s="9"/>
      <c r="AT1083" s="9"/>
      <c r="AU1083" s="9"/>
      <c r="AX1083" s="9"/>
      <c r="AY1083" s="9"/>
    </row>
    <row r="1084" spans="17:51" ht="12.75">
      <c r="Q1084" s="28"/>
      <c r="Y1084" s="28"/>
      <c r="AE1084" s="59"/>
      <c r="AH1084" s="9"/>
      <c r="AI1084" s="9"/>
      <c r="AL1084" s="9"/>
      <c r="AM1084" s="9"/>
      <c r="AP1084" s="9"/>
      <c r="AQ1084" s="9"/>
      <c r="AT1084" s="9"/>
      <c r="AU1084" s="9"/>
      <c r="AX1084" s="9"/>
      <c r="AY1084" s="9"/>
    </row>
    <row r="1085" spans="17:51" ht="12.75">
      <c r="Q1085" s="28"/>
      <c r="Y1085" s="28"/>
      <c r="AE1085" s="59"/>
      <c r="AH1085" s="9"/>
      <c r="AI1085" s="9"/>
      <c r="AL1085" s="9"/>
      <c r="AM1085" s="9"/>
      <c r="AP1085" s="9"/>
      <c r="AQ1085" s="9"/>
      <c r="AT1085" s="9"/>
      <c r="AU1085" s="9"/>
      <c r="AX1085" s="9"/>
      <c r="AY1085" s="9"/>
    </row>
    <row r="1086" spans="17:51" ht="12.75">
      <c r="Q1086" s="28"/>
      <c r="Y1086" s="28"/>
      <c r="AE1086" s="59"/>
      <c r="AH1086" s="9"/>
      <c r="AI1086" s="9"/>
      <c r="AL1086" s="9"/>
      <c r="AM1086" s="9"/>
      <c r="AP1086" s="9"/>
      <c r="AQ1086" s="9"/>
      <c r="AT1086" s="9"/>
      <c r="AU1086" s="9"/>
      <c r="AX1086" s="9"/>
      <c r="AY1086" s="9"/>
    </row>
    <row r="1087" spans="17:51" ht="12.75">
      <c r="Q1087" s="28"/>
      <c r="Y1087" s="28"/>
      <c r="AE1087" s="59"/>
      <c r="AH1087" s="9"/>
      <c r="AI1087" s="9"/>
      <c r="AL1087" s="9"/>
      <c r="AM1087" s="9"/>
      <c r="AP1087" s="9"/>
      <c r="AQ1087" s="9"/>
      <c r="AT1087" s="9"/>
      <c r="AU1087" s="9"/>
      <c r="AX1087" s="9"/>
      <c r="AY1087" s="9"/>
    </row>
    <row r="1088" spans="17:51" ht="12.75">
      <c r="Q1088" s="28"/>
      <c r="Y1088" s="28"/>
      <c r="AE1088" s="59"/>
      <c r="AH1088" s="9"/>
      <c r="AI1088" s="9"/>
      <c r="AL1088" s="9"/>
      <c r="AM1088" s="9"/>
      <c r="AP1088" s="9"/>
      <c r="AQ1088" s="9"/>
      <c r="AT1088" s="9"/>
      <c r="AU1088" s="9"/>
      <c r="AX1088" s="9"/>
      <c r="AY1088" s="9"/>
    </row>
    <row r="1089" spans="17:51" ht="12.75">
      <c r="Q1089" s="28"/>
      <c r="Y1089" s="28"/>
      <c r="AE1089" s="59"/>
      <c r="AH1089" s="9"/>
      <c r="AI1089" s="9"/>
      <c r="AL1089" s="9"/>
      <c r="AM1089" s="9"/>
      <c r="AP1089" s="9"/>
      <c r="AQ1089" s="9"/>
      <c r="AT1089" s="9"/>
      <c r="AU1089" s="9"/>
      <c r="AX1089" s="9"/>
      <c r="AY1089" s="9"/>
    </row>
    <row r="1090" spans="17:51" ht="12.75">
      <c r="Q1090" s="28"/>
      <c r="Y1090" s="28"/>
      <c r="AE1090" s="59"/>
      <c r="AH1090" s="9"/>
      <c r="AI1090" s="9"/>
      <c r="AL1090" s="9"/>
      <c r="AM1090" s="9"/>
      <c r="AP1090" s="9"/>
      <c r="AQ1090" s="9"/>
      <c r="AT1090" s="9"/>
      <c r="AU1090" s="9"/>
      <c r="AX1090" s="9"/>
      <c r="AY1090" s="9"/>
    </row>
    <row r="1091" spans="17:51" ht="12.75">
      <c r="Q1091" s="28"/>
      <c r="Y1091" s="28"/>
      <c r="AE1091" s="59"/>
      <c r="AH1091" s="9"/>
      <c r="AI1091" s="9"/>
      <c r="AL1091" s="9"/>
      <c r="AM1091" s="9"/>
      <c r="AP1091" s="9"/>
      <c r="AQ1091" s="9"/>
      <c r="AT1091" s="9"/>
      <c r="AU1091" s="9"/>
      <c r="AX1091" s="9"/>
      <c r="AY1091" s="9"/>
    </row>
    <row r="1092" spans="17:51" ht="12.75">
      <c r="Q1092" s="28"/>
      <c r="Y1092" s="28"/>
      <c r="AE1092" s="59"/>
      <c r="AH1092" s="9"/>
      <c r="AI1092" s="9"/>
      <c r="AL1092" s="9"/>
      <c r="AM1092" s="9"/>
      <c r="AP1092" s="9"/>
      <c r="AQ1092" s="9"/>
      <c r="AT1092" s="9"/>
      <c r="AU1092" s="9"/>
      <c r="AX1092" s="9"/>
      <c r="AY1092" s="9"/>
    </row>
    <row r="1093" spans="17:51" ht="12.75">
      <c r="Q1093" s="28"/>
      <c r="Y1093" s="28"/>
      <c r="AE1093" s="59"/>
      <c r="AH1093" s="9"/>
      <c r="AI1093" s="9"/>
      <c r="AL1093" s="9"/>
      <c r="AM1093" s="9"/>
      <c r="AP1093" s="9"/>
      <c r="AQ1093" s="9"/>
      <c r="AT1093" s="9"/>
      <c r="AU1093" s="9"/>
      <c r="AX1093" s="9"/>
      <c r="AY1093" s="9"/>
    </row>
    <row r="1094" spans="17:51" ht="12.75">
      <c r="Q1094" s="28"/>
      <c r="Y1094" s="28"/>
      <c r="AE1094" s="59"/>
      <c r="AH1094" s="9"/>
      <c r="AI1094" s="9"/>
      <c r="AL1094" s="9"/>
      <c r="AM1094" s="9"/>
      <c r="AP1094" s="9"/>
      <c r="AQ1094" s="9"/>
      <c r="AT1094" s="9"/>
      <c r="AU1094" s="9"/>
      <c r="AX1094" s="9"/>
      <c r="AY1094" s="9"/>
    </row>
    <row r="1095" spans="17:51" ht="12.75">
      <c r="Q1095" s="28"/>
      <c r="Y1095" s="28"/>
      <c r="AE1095" s="59"/>
      <c r="AH1095" s="9"/>
      <c r="AI1095" s="9"/>
      <c r="AL1095" s="9"/>
      <c r="AM1095" s="9"/>
      <c r="AP1095" s="9"/>
      <c r="AQ1095" s="9"/>
      <c r="AT1095" s="9"/>
      <c r="AU1095" s="9"/>
      <c r="AX1095" s="9"/>
      <c r="AY1095" s="9"/>
    </row>
    <row r="1096" spans="17:51" ht="12.75">
      <c r="Q1096" s="28"/>
      <c r="Y1096" s="28"/>
      <c r="AE1096" s="59"/>
      <c r="AH1096" s="9"/>
      <c r="AI1096" s="9"/>
      <c r="AL1096" s="9"/>
      <c r="AM1096" s="9"/>
      <c r="AP1096" s="9"/>
      <c r="AQ1096" s="9"/>
      <c r="AT1096" s="9"/>
      <c r="AU1096" s="9"/>
      <c r="AX1096" s="9"/>
      <c r="AY1096" s="9"/>
    </row>
    <row r="1097" spans="17:51" ht="12.75">
      <c r="Q1097" s="28"/>
      <c r="Y1097" s="28"/>
      <c r="AE1097" s="59"/>
      <c r="AH1097" s="9"/>
      <c r="AI1097" s="9"/>
      <c r="AL1097" s="9"/>
      <c r="AM1097" s="9"/>
      <c r="AP1097" s="9"/>
      <c r="AQ1097" s="9"/>
      <c r="AT1097" s="9"/>
      <c r="AU1097" s="9"/>
      <c r="AX1097" s="9"/>
      <c r="AY1097" s="9"/>
    </row>
    <row r="1098" spans="17:51" ht="12.75">
      <c r="Q1098" s="28"/>
      <c r="Y1098" s="28"/>
      <c r="AE1098" s="59"/>
      <c r="AH1098" s="9"/>
      <c r="AI1098" s="9"/>
      <c r="AL1098" s="9"/>
      <c r="AM1098" s="9"/>
      <c r="AP1098" s="9"/>
      <c r="AQ1098" s="9"/>
      <c r="AT1098" s="9"/>
      <c r="AU1098" s="9"/>
      <c r="AX1098" s="9"/>
      <c r="AY1098" s="9"/>
    </row>
    <row r="1099" spans="17:51" ht="12.75">
      <c r="Q1099" s="28"/>
      <c r="Y1099" s="28"/>
      <c r="AE1099" s="59"/>
      <c r="AH1099" s="9"/>
      <c r="AI1099" s="9"/>
      <c r="AL1099" s="9"/>
      <c r="AM1099" s="9"/>
      <c r="AP1099" s="9"/>
      <c r="AQ1099" s="9"/>
      <c r="AT1099" s="9"/>
      <c r="AU1099" s="9"/>
      <c r="AX1099" s="9"/>
      <c r="AY1099" s="9"/>
    </row>
    <row r="1100" spans="17:51" ht="12.75">
      <c r="Q1100" s="28"/>
      <c r="Y1100" s="28"/>
      <c r="AE1100" s="59"/>
      <c r="AH1100" s="9"/>
      <c r="AI1100" s="9"/>
      <c r="AL1100" s="9"/>
      <c r="AM1100" s="9"/>
      <c r="AP1100" s="9"/>
      <c r="AQ1100" s="9"/>
      <c r="AT1100" s="9"/>
      <c r="AU1100" s="9"/>
      <c r="AX1100" s="9"/>
      <c r="AY1100" s="9"/>
    </row>
    <row r="1101" spans="17:51" ht="12.75">
      <c r="Q1101" s="28"/>
      <c r="Y1101" s="28"/>
      <c r="AE1101" s="59"/>
      <c r="AH1101" s="9"/>
      <c r="AI1101" s="9"/>
      <c r="AL1101" s="9"/>
      <c r="AM1101" s="9"/>
      <c r="AP1101" s="9"/>
      <c r="AQ1101" s="9"/>
      <c r="AT1101" s="9"/>
      <c r="AU1101" s="9"/>
      <c r="AX1101" s="9"/>
      <c r="AY1101" s="9"/>
    </row>
    <row r="1102" spans="17:51" ht="12.75">
      <c r="Q1102" s="28"/>
      <c r="Y1102" s="28"/>
      <c r="AE1102" s="59"/>
      <c r="AH1102" s="9"/>
      <c r="AI1102" s="9"/>
      <c r="AL1102" s="9"/>
      <c r="AM1102" s="9"/>
      <c r="AP1102" s="9"/>
      <c r="AQ1102" s="9"/>
      <c r="AT1102" s="9"/>
      <c r="AU1102" s="9"/>
      <c r="AX1102" s="9"/>
      <c r="AY1102" s="9"/>
    </row>
    <row r="1103" spans="17:51" ht="12.75">
      <c r="Q1103" s="28"/>
      <c r="Y1103" s="28"/>
      <c r="AE1103" s="59"/>
      <c r="AH1103" s="9"/>
      <c r="AI1103" s="9"/>
      <c r="AL1103" s="9"/>
      <c r="AM1103" s="9"/>
      <c r="AP1103" s="9"/>
      <c r="AQ1103" s="9"/>
      <c r="AT1103" s="9"/>
      <c r="AU1103" s="9"/>
      <c r="AX1103" s="9"/>
      <c r="AY1103" s="9"/>
    </row>
    <row r="1104" spans="17:51" ht="12.75">
      <c r="Q1104" s="28"/>
      <c r="Y1104" s="28"/>
      <c r="AE1104" s="59"/>
      <c r="AH1104" s="9"/>
      <c r="AI1104" s="9"/>
      <c r="AL1104" s="9"/>
      <c r="AM1104" s="9"/>
      <c r="AP1104" s="9"/>
      <c r="AQ1104" s="9"/>
      <c r="AT1104" s="9"/>
      <c r="AU1104" s="9"/>
      <c r="AX1104" s="9"/>
      <c r="AY1104" s="9"/>
    </row>
    <row r="1105" spans="17:51" ht="12.75">
      <c r="Q1105" s="28"/>
      <c r="Y1105" s="28"/>
      <c r="AE1105" s="59"/>
      <c r="AH1105" s="9"/>
      <c r="AI1105" s="9"/>
      <c r="AL1105" s="9"/>
      <c r="AM1105" s="9"/>
      <c r="AP1105" s="9"/>
      <c r="AQ1105" s="9"/>
      <c r="AT1105" s="9"/>
      <c r="AU1105" s="9"/>
      <c r="AX1105" s="9"/>
      <c r="AY1105" s="9"/>
    </row>
    <row r="1106" spans="17:51" ht="12.75">
      <c r="Q1106" s="28"/>
      <c r="Y1106" s="28"/>
      <c r="AE1106" s="59"/>
      <c r="AH1106" s="9"/>
      <c r="AI1106" s="9"/>
      <c r="AL1106" s="9"/>
      <c r="AM1106" s="9"/>
      <c r="AP1106" s="9"/>
      <c r="AQ1106" s="9"/>
      <c r="AT1106" s="9"/>
      <c r="AU1106" s="9"/>
      <c r="AX1106" s="9"/>
      <c r="AY1106" s="9"/>
    </row>
    <row r="1107" spans="17:51" ht="12.75">
      <c r="Q1107" s="28"/>
      <c r="Y1107" s="28"/>
      <c r="AE1107" s="59"/>
      <c r="AH1107" s="9"/>
      <c r="AI1107" s="9"/>
      <c r="AL1107" s="9"/>
      <c r="AM1107" s="9"/>
      <c r="AP1107" s="9"/>
      <c r="AQ1107" s="9"/>
      <c r="AT1107" s="9"/>
      <c r="AU1107" s="9"/>
      <c r="AX1107" s="9"/>
      <c r="AY1107" s="9"/>
    </row>
    <row r="1108" spans="17:51" ht="12.75">
      <c r="Q1108" s="28"/>
      <c r="Y1108" s="28"/>
      <c r="AE1108" s="59"/>
      <c r="AH1108" s="9"/>
      <c r="AI1108" s="9"/>
      <c r="AL1108" s="9"/>
      <c r="AM1108" s="9"/>
      <c r="AP1108" s="9"/>
      <c r="AQ1108" s="9"/>
      <c r="AT1108" s="9"/>
      <c r="AU1108" s="9"/>
      <c r="AX1108" s="9"/>
      <c r="AY1108" s="9"/>
    </row>
    <row r="1109" spans="17:51" ht="12.75">
      <c r="Q1109" s="28"/>
      <c r="Y1109" s="28"/>
      <c r="AE1109" s="59"/>
      <c r="AH1109" s="9"/>
      <c r="AI1109" s="9"/>
      <c r="AL1109" s="9"/>
      <c r="AM1109" s="9"/>
      <c r="AP1109" s="9"/>
      <c r="AQ1109" s="9"/>
      <c r="AT1109" s="9"/>
      <c r="AU1109" s="9"/>
      <c r="AX1109" s="9"/>
      <c r="AY1109" s="9"/>
    </row>
    <row r="1110" spans="17:51" ht="12.75">
      <c r="Q1110" s="28"/>
      <c r="Y1110" s="28"/>
      <c r="AE1110" s="59"/>
      <c r="AH1110" s="9"/>
      <c r="AI1110" s="9"/>
      <c r="AL1110" s="9"/>
      <c r="AM1110" s="9"/>
      <c r="AP1110" s="9"/>
      <c r="AQ1110" s="9"/>
      <c r="AT1110" s="9"/>
      <c r="AU1110" s="9"/>
      <c r="AX1110" s="9"/>
      <c r="AY1110" s="9"/>
    </row>
    <row r="1111" spans="17:51" ht="12.75">
      <c r="Q1111" s="28"/>
      <c r="Y1111" s="28"/>
      <c r="AE1111" s="59"/>
      <c r="AH1111" s="9"/>
      <c r="AI1111" s="9"/>
      <c r="AL1111" s="9"/>
      <c r="AM1111" s="9"/>
      <c r="AP1111" s="9"/>
      <c r="AQ1111" s="9"/>
      <c r="AT1111" s="9"/>
      <c r="AU1111" s="9"/>
      <c r="AX1111" s="9"/>
      <c r="AY1111" s="9"/>
    </row>
    <row r="1112" spans="17:51" ht="12.75">
      <c r="Q1112" s="28"/>
      <c r="Y1112" s="28"/>
      <c r="AE1112" s="59"/>
      <c r="AH1112" s="9"/>
      <c r="AI1112" s="9"/>
      <c r="AL1112" s="9"/>
      <c r="AM1112" s="9"/>
      <c r="AP1112" s="9"/>
      <c r="AQ1112" s="9"/>
      <c r="AT1112" s="9"/>
      <c r="AU1112" s="9"/>
      <c r="AX1112" s="9"/>
      <c r="AY1112" s="9"/>
    </row>
    <row r="1113" spans="17:51" ht="12.75">
      <c r="Q1113" s="28"/>
      <c r="Y1113" s="28"/>
      <c r="AE1113" s="59"/>
      <c r="AH1113" s="9"/>
      <c r="AI1113" s="9"/>
      <c r="AL1113" s="9"/>
      <c r="AM1113" s="9"/>
      <c r="AP1113" s="9"/>
      <c r="AQ1113" s="9"/>
      <c r="AT1113" s="9"/>
      <c r="AU1113" s="9"/>
      <c r="AX1113" s="9"/>
      <c r="AY1113" s="9"/>
    </row>
    <row r="1114" spans="17:51" ht="12.75">
      <c r="Q1114" s="28"/>
      <c r="Y1114" s="28"/>
      <c r="AE1114" s="59"/>
      <c r="AH1114" s="9"/>
      <c r="AI1114" s="9"/>
      <c r="AL1114" s="9"/>
      <c r="AM1114" s="9"/>
      <c r="AP1114" s="9"/>
      <c r="AQ1114" s="9"/>
      <c r="AT1114" s="9"/>
      <c r="AU1114" s="9"/>
      <c r="AX1114" s="9"/>
      <c r="AY1114" s="9"/>
    </row>
    <row r="1115" spans="17:51" ht="12.75">
      <c r="Q1115" s="28"/>
      <c r="Y1115" s="28"/>
      <c r="AE1115" s="59"/>
      <c r="AH1115" s="9"/>
      <c r="AI1115" s="9"/>
      <c r="AL1115" s="9"/>
      <c r="AM1115" s="9"/>
      <c r="AP1115" s="9"/>
      <c r="AQ1115" s="9"/>
      <c r="AT1115" s="9"/>
      <c r="AU1115" s="9"/>
      <c r="AX1115" s="9"/>
      <c r="AY1115" s="9"/>
    </row>
    <row r="1116" spans="17:51" ht="12.75">
      <c r="Q1116" s="28"/>
      <c r="Y1116" s="28"/>
      <c r="AE1116" s="59"/>
      <c r="AH1116" s="9"/>
      <c r="AI1116" s="9"/>
      <c r="AL1116" s="9"/>
      <c r="AM1116" s="9"/>
      <c r="AP1116" s="9"/>
      <c r="AQ1116" s="9"/>
      <c r="AT1116" s="9"/>
      <c r="AU1116" s="9"/>
      <c r="AX1116" s="9"/>
      <c r="AY1116" s="9"/>
    </row>
    <row r="1117" spans="17:51" ht="12.75">
      <c r="Q1117" s="28"/>
      <c r="Y1117" s="28"/>
      <c r="AE1117" s="59"/>
      <c r="AH1117" s="9"/>
      <c r="AI1117" s="9"/>
      <c r="AL1117" s="9"/>
      <c r="AM1117" s="9"/>
      <c r="AP1117" s="9"/>
      <c r="AQ1117" s="9"/>
      <c r="AT1117" s="9"/>
      <c r="AU1117" s="9"/>
      <c r="AX1117" s="9"/>
      <c r="AY1117" s="9"/>
    </row>
    <row r="1118" spans="17:51" ht="12.75">
      <c r="Q1118" s="28"/>
      <c r="Y1118" s="28"/>
      <c r="AE1118" s="59"/>
      <c r="AH1118" s="9"/>
      <c r="AI1118" s="9"/>
      <c r="AL1118" s="9"/>
      <c r="AM1118" s="9"/>
      <c r="AP1118" s="9"/>
      <c r="AQ1118" s="9"/>
      <c r="AT1118" s="9"/>
      <c r="AU1118" s="9"/>
      <c r="AX1118" s="9"/>
      <c r="AY1118" s="9"/>
    </row>
    <row r="1119" spans="17:51" ht="12.75">
      <c r="Q1119" s="28"/>
      <c r="Y1119" s="28"/>
      <c r="AE1119" s="59"/>
      <c r="AH1119" s="9"/>
      <c r="AI1119" s="9"/>
      <c r="AL1119" s="9"/>
      <c r="AM1119" s="9"/>
      <c r="AP1119" s="9"/>
      <c r="AQ1119" s="9"/>
      <c r="AT1119" s="9"/>
      <c r="AU1119" s="9"/>
      <c r="AX1119" s="9"/>
      <c r="AY1119" s="9"/>
    </row>
    <row r="1120" spans="17:51" ht="12.75">
      <c r="Q1120" s="28"/>
      <c r="Y1120" s="28"/>
      <c r="AE1120" s="59"/>
      <c r="AH1120" s="9"/>
      <c r="AI1120" s="9"/>
      <c r="AL1120" s="9"/>
      <c r="AM1120" s="9"/>
      <c r="AP1120" s="9"/>
      <c r="AQ1120" s="9"/>
      <c r="AT1120" s="9"/>
      <c r="AU1120" s="9"/>
      <c r="AX1120" s="9"/>
      <c r="AY1120" s="9"/>
    </row>
    <row r="1121" spans="17:51" ht="12.75">
      <c r="Q1121" s="28"/>
      <c r="Y1121" s="28"/>
      <c r="AE1121" s="59"/>
      <c r="AH1121" s="9"/>
      <c r="AI1121" s="9"/>
      <c r="AL1121" s="9"/>
      <c r="AM1121" s="9"/>
      <c r="AP1121" s="9"/>
      <c r="AQ1121" s="9"/>
      <c r="AT1121" s="9"/>
      <c r="AU1121" s="9"/>
      <c r="AX1121" s="9"/>
      <c r="AY1121" s="9"/>
    </row>
    <row r="1122" spans="17:51" ht="12.75">
      <c r="Q1122" s="28"/>
      <c r="Y1122" s="28"/>
      <c r="AE1122" s="59"/>
      <c r="AH1122" s="9"/>
      <c r="AI1122" s="9"/>
      <c r="AL1122" s="9"/>
      <c r="AM1122" s="9"/>
      <c r="AP1122" s="9"/>
      <c r="AQ1122" s="9"/>
      <c r="AT1122" s="9"/>
      <c r="AU1122" s="9"/>
      <c r="AX1122" s="9"/>
      <c r="AY1122" s="9"/>
    </row>
    <row r="1123" spans="17:51" ht="12.75">
      <c r="Q1123" s="28"/>
      <c r="Y1123" s="28"/>
      <c r="AE1123" s="59"/>
      <c r="AH1123" s="9"/>
      <c r="AI1123" s="9"/>
      <c r="AL1123" s="9"/>
      <c r="AM1123" s="9"/>
      <c r="AP1123" s="9"/>
      <c r="AQ1123" s="9"/>
      <c r="AT1123" s="9"/>
      <c r="AU1123" s="9"/>
      <c r="AX1123" s="9"/>
      <c r="AY1123" s="9"/>
    </row>
    <row r="1124" spans="17:51" ht="12.75">
      <c r="Q1124" s="28"/>
      <c r="Y1124" s="28"/>
      <c r="AE1124" s="59"/>
      <c r="AH1124" s="9"/>
      <c r="AI1124" s="9"/>
      <c r="AL1124" s="9"/>
      <c r="AM1124" s="9"/>
      <c r="AP1124" s="9"/>
      <c r="AQ1124" s="9"/>
      <c r="AT1124" s="9"/>
      <c r="AU1124" s="9"/>
      <c r="AX1124" s="9"/>
      <c r="AY1124" s="9"/>
    </row>
    <row r="1125" spans="17:51" ht="12.75">
      <c r="Q1125" s="28"/>
      <c r="Y1125" s="28"/>
      <c r="AE1125" s="59"/>
      <c r="AH1125" s="9"/>
      <c r="AI1125" s="9"/>
      <c r="AL1125" s="9"/>
      <c r="AM1125" s="9"/>
      <c r="AP1125" s="9"/>
      <c r="AQ1125" s="9"/>
      <c r="AT1125" s="9"/>
      <c r="AU1125" s="9"/>
      <c r="AX1125" s="9"/>
      <c r="AY1125" s="9"/>
    </row>
    <row r="1126" spans="17:51" ht="12.75">
      <c r="Q1126" s="28"/>
      <c r="Y1126" s="28"/>
      <c r="AE1126" s="59"/>
      <c r="AH1126" s="9"/>
      <c r="AI1126" s="9"/>
      <c r="AL1126" s="9"/>
      <c r="AM1126" s="9"/>
      <c r="AP1126" s="9"/>
      <c r="AQ1126" s="9"/>
      <c r="AT1126" s="9"/>
      <c r="AU1126" s="9"/>
      <c r="AX1126" s="9"/>
      <c r="AY1126" s="9"/>
    </row>
    <row r="1127" spans="17:51" ht="12.75">
      <c r="Q1127" s="28"/>
      <c r="Y1127" s="28"/>
      <c r="AE1127" s="59"/>
      <c r="AH1127" s="9"/>
      <c r="AI1127" s="9"/>
      <c r="AL1127" s="9"/>
      <c r="AM1127" s="9"/>
      <c r="AP1127" s="9"/>
      <c r="AQ1127" s="9"/>
      <c r="AT1127" s="9"/>
      <c r="AU1127" s="9"/>
      <c r="AX1127" s="9"/>
      <c r="AY1127" s="9"/>
    </row>
    <row r="1128" spans="17:51" ht="12.75">
      <c r="Q1128" s="28"/>
      <c r="Y1128" s="28"/>
      <c r="AE1128" s="59"/>
      <c r="AH1128" s="9"/>
      <c r="AI1128" s="9"/>
      <c r="AL1128" s="9"/>
      <c r="AM1128" s="9"/>
      <c r="AP1128" s="9"/>
      <c r="AQ1128" s="9"/>
      <c r="AT1128" s="9"/>
      <c r="AU1128" s="9"/>
      <c r="AX1128" s="9"/>
      <c r="AY1128" s="9"/>
    </row>
    <row r="1129" spans="17:51" ht="12.75">
      <c r="Q1129" s="28"/>
      <c r="Y1129" s="28"/>
      <c r="AE1129" s="59"/>
      <c r="AH1129" s="9"/>
      <c r="AI1129" s="9"/>
      <c r="AL1129" s="9"/>
      <c r="AM1129" s="9"/>
      <c r="AP1129" s="9"/>
      <c r="AQ1129" s="9"/>
      <c r="AT1129" s="9"/>
      <c r="AU1129" s="9"/>
      <c r="AX1129" s="9"/>
      <c r="AY1129" s="9"/>
    </row>
    <row r="1130" spans="17:51" ht="12.75">
      <c r="Q1130" s="28"/>
      <c r="Y1130" s="28"/>
      <c r="AE1130" s="59"/>
      <c r="AH1130" s="9"/>
      <c r="AI1130" s="9"/>
      <c r="AL1130" s="9"/>
      <c r="AM1130" s="9"/>
      <c r="AP1130" s="9"/>
      <c r="AQ1130" s="9"/>
      <c r="AT1130" s="9"/>
      <c r="AU1130" s="9"/>
      <c r="AX1130" s="9"/>
      <c r="AY1130" s="9"/>
    </row>
    <row r="1131" spans="17:51" ht="12.75">
      <c r="Q1131" s="28"/>
      <c r="Y1131" s="28"/>
      <c r="AE1131" s="59"/>
      <c r="AH1131" s="9"/>
      <c r="AI1131" s="9"/>
      <c r="AL1131" s="9"/>
      <c r="AM1131" s="9"/>
      <c r="AP1131" s="9"/>
      <c r="AQ1131" s="9"/>
      <c r="AT1131" s="9"/>
      <c r="AU1131" s="9"/>
      <c r="AX1131" s="9"/>
      <c r="AY1131" s="9"/>
    </row>
    <row r="1132" spans="17:51" ht="12.75">
      <c r="Q1132" s="28"/>
      <c r="Y1132" s="28"/>
      <c r="AE1132" s="59"/>
      <c r="AH1132" s="9"/>
      <c r="AI1132" s="9"/>
      <c r="AL1132" s="9"/>
      <c r="AM1132" s="9"/>
      <c r="AP1132" s="9"/>
      <c r="AQ1132" s="9"/>
      <c r="AT1132" s="9"/>
      <c r="AU1132" s="9"/>
      <c r="AX1132" s="9"/>
      <c r="AY1132" s="9"/>
    </row>
    <row r="1133" spans="17:51" ht="12.75">
      <c r="Q1133" s="28"/>
      <c r="Y1133" s="28"/>
      <c r="AE1133" s="59"/>
      <c r="AH1133" s="9"/>
      <c r="AI1133" s="9"/>
      <c r="AL1133" s="9"/>
      <c r="AM1133" s="9"/>
      <c r="AP1133" s="9"/>
      <c r="AQ1133" s="9"/>
      <c r="AT1133" s="9"/>
      <c r="AU1133" s="9"/>
      <c r="AX1133" s="9"/>
      <c r="AY1133" s="9"/>
    </row>
    <row r="1134" spans="17:51" ht="12.75">
      <c r="Q1134" s="28"/>
      <c r="Y1134" s="28"/>
      <c r="AE1134" s="59"/>
      <c r="AH1134" s="9"/>
      <c r="AI1134" s="9"/>
      <c r="AL1134" s="9"/>
      <c r="AM1134" s="9"/>
      <c r="AP1134" s="9"/>
      <c r="AQ1134" s="9"/>
      <c r="AT1134" s="9"/>
      <c r="AU1134" s="9"/>
      <c r="AX1134" s="9"/>
      <c r="AY1134" s="9"/>
    </row>
    <row r="1135" spans="17:51" ht="12.75">
      <c r="Q1135" s="28"/>
      <c r="Y1135" s="28"/>
      <c r="AE1135" s="59"/>
      <c r="AH1135" s="9"/>
      <c r="AI1135" s="9"/>
      <c r="AL1135" s="9"/>
      <c r="AM1135" s="9"/>
      <c r="AP1135" s="9"/>
      <c r="AQ1135" s="9"/>
      <c r="AT1135" s="9"/>
      <c r="AU1135" s="9"/>
      <c r="AX1135" s="9"/>
      <c r="AY1135" s="9"/>
    </row>
    <row r="1136" spans="17:51" ht="12.75">
      <c r="Q1136" s="28"/>
      <c r="Y1136" s="28"/>
      <c r="AE1136" s="59"/>
      <c r="AH1136" s="9"/>
      <c r="AI1136" s="9"/>
      <c r="AL1136" s="9"/>
      <c r="AM1136" s="9"/>
      <c r="AP1136" s="9"/>
      <c r="AQ1136" s="9"/>
      <c r="AT1136" s="9"/>
      <c r="AU1136" s="9"/>
      <c r="AX1136" s="9"/>
      <c r="AY1136" s="9"/>
    </row>
    <row r="1137" spans="17:51" ht="12.75">
      <c r="Q1137" s="28"/>
      <c r="Y1137" s="28"/>
      <c r="AE1137" s="59"/>
      <c r="AH1137" s="9"/>
      <c r="AI1137" s="9"/>
      <c r="AL1137" s="9"/>
      <c r="AM1137" s="9"/>
      <c r="AP1137" s="9"/>
      <c r="AQ1137" s="9"/>
      <c r="AT1137" s="9"/>
      <c r="AU1137" s="9"/>
      <c r="AX1137" s="9"/>
      <c r="AY1137" s="9"/>
    </row>
    <row r="1138" spans="17:51" ht="12.75">
      <c r="Q1138" s="28"/>
      <c r="Y1138" s="28"/>
      <c r="AE1138" s="59"/>
      <c r="AH1138" s="9"/>
      <c r="AI1138" s="9"/>
      <c r="AL1138" s="9"/>
      <c r="AM1138" s="9"/>
      <c r="AP1138" s="9"/>
      <c r="AQ1138" s="9"/>
      <c r="AT1138" s="9"/>
      <c r="AU1138" s="9"/>
      <c r="AX1138" s="9"/>
      <c r="AY1138" s="9"/>
    </row>
    <row r="1139" spans="17:51" ht="12.75">
      <c r="Q1139" s="28"/>
      <c r="Y1139" s="28"/>
      <c r="AE1139" s="59"/>
      <c r="AH1139" s="9"/>
      <c r="AI1139" s="9"/>
      <c r="AL1139" s="9"/>
      <c r="AM1139" s="9"/>
      <c r="AP1139" s="9"/>
      <c r="AQ1139" s="9"/>
      <c r="AT1139" s="9"/>
      <c r="AU1139" s="9"/>
      <c r="AX1139" s="9"/>
      <c r="AY1139" s="9"/>
    </row>
    <row r="1140" spans="17:51" ht="12.75">
      <c r="Q1140" s="28"/>
      <c r="Y1140" s="28"/>
      <c r="AE1140" s="59"/>
      <c r="AH1140" s="9"/>
      <c r="AI1140" s="9"/>
      <c r="AL1140" s="9"/>
      <c r="AM1140" s="9"/>
      <c r="AP1140" s="9"/>
      <c r="AQ1140" s="9"/>
      <c r="AT1140" s="9"/>
      <c r="AU1140" s="9"/>
      <c r="AX1140" s="9"/>
      <c r="AY1140" s="9"/>
    </row>
    <row r="1141" spans="17:51" ht="12.75">
      <c r="Q1141" s="28"/>
      <c r="Y1141" s="28"/>
      <c r="AE1141" s="59"/>
      <c r="AH1141" s="9"/>
      <c r="AI1141" s="9"/>
      <c r="AL1141" s="9"/>
      <c r="AM1141" s="9"/>
      <c r="AP1141" s="9"/>
      <c r="AQ1141" s="9"/>
      <c r="AT1141" s="9"/>
      <c r="AU1141" s="9"/>
      <c r="AX1141" s="9"/>
      <c r="AY1141" s="9"/>
    </row>
    <row r="1142" spans="17:51" ht="12.75">
      <c r="Q1142" s="28"/>
      <c r="Y1142" s="28"/>
      <c r="AE1142" s="59"/>
      <c r="AH1142" s="9"/>
      <c r="AI1142" s="9"/>
      <c r="AL1142" s="9"/>
      <c r="AM1142" s="9"/>
      <c r="AP1142" s="9"/>
      <c r="AQ1142" s="9"/>
      <c r="AT1142" s="9"/>
      <c r="AU1142" s="9"/>
      <c r="AX1142" s="9"/>
      <c r="AY1142" s="9"/>
    </row>
    <row r="1143" spans="17:51" ht="12.75">
      <c r="Q1143" s="28"/>
      <c r="Y1143" s="28"/>
      <c r="AE1143" s="59"/>
      <c r="AH1143" s="9"/>
      <c r="AI1143" s="9"/>
      <c r="AL1143" s="9"/>
      <c r="AM1143" s="9"/>
      <c r="AP1143" s="9"/>
      <c r="AQ1143" s="9"/>
      <c r="AT1143" s="9"/>
      <c r="AU1143" s="9"/>
      <c r="AX1143" s="9"/>
      <c r="AY1143" s="9"/>
    </row>
    <row r="1144" spans="17:51" ht="12.75">
      <c r="Q1144" s="28"/>
      <c r="Y1144" s="28"/>
      <c r="AE1144" s="59"/>
      <c r="AH1144" s="9"/>
      <c r="AI1144" s="9"/>
      <c r="AL1144" s="9"/>
      <c r="AM1144" s="9"/>
      <c r="AP1144" s="9"/>
      <c r="AQ1144" s="9"/>
      <c r="AT1144" s="9"/>
      <c r="AU1144" s="9"/>
      <c r="AX1144" s="9"/>
      <c r="AY1144" s="9"/>
    </row>
    <row r="1145" spans="17:51" ht="12.75">
      <c r="Q1145" s="28"/>
      <c r="Y1145" s="28"/>
      <c r="AE1145" s="59"/>
      <c r="AH1145" s="9"/>
      <c r="AI1145" s="9"/>
      <c r="AL1145" s="9"/>
      <c r="AM1145" s="9"/>
      <c r="AP1145" s="9"/>
      <c r="AQ1145" s="9"/>
      <c r="AT1145" s="9"/>
      <c r="AU1145" s="9"/>
      <c r="AX1145" s="9"/>
      <c r="AY1145" s="9"/>
    </row>
    <row r="1146" spans="17:51" ht="12.75">
      <c r="Q1146" s="28"/>
      <c r="Y1146" s="28"/>
      <c r="AE1146" s="59"/>
      <c r="AH1146" s="9"/>
      <c r="AI1146" s="9"/>
      <c r="AL1146" s="9"/>
      <c r="AM1146" s="9"/>
      <c r="AP1146" s="9"/>
      <c r="AQ1146" s="9"/>
      <c r="AT1146" s="9"/>
      <c r="AU1146" s="9"/>
      <c r="AX1146" s="9"/>
      <c r="AY1146" s="9"/>
    </row>
    <row r="1147" spans="17:51" ht="12.75">
      <c r="Q1147" s="28"/>
      <c r="Y1147" s="28"/>
      <c r="AE1147" s="59"/>
      <c r="AH1147" s="9"/>
      <c r="AI1147" s="9"/>
      <c r="AL1147" s="9"/>
      <c r="AM1147" s="9"/>
      <c r="AP1147" s="9"/>
      <c r="AQ1147" s="9"/>
      <c r="AT1147" s="9"/>
      <c r="AU1147" s="9"/>
      <c r="AX1147" s="9"/>
      <c r="AY1147" s="9"/>
    </row>
    <row r="1148" spans="17:51" ht="12.75">
      <c r="Q1148" s="28"/>
      <c r="Y1148" s="28"/>
      <c r="AE1148" s="59"/>
      <c r="AH1148" s="9"/>
      <c r="AI1148" s="9"/>
      <c r="AL1148" s="9"/>
      <c r="AM1148" s="9"/>
      <c r="AP1148" s="9"/>
      <c r="AQ1148" s="9"/>
      <c r="AT1148" s="9"/>
      <c r="AU1148" s="9"/>
      <c r="AX1148" s="9"/>
      <c r="AY1148" s="9"/>
    </row>
    <row r="1149" spans="17:51" ht="12.75">
      <c r="Q1149" s="28"/>
      <c r="Y1149" s="28"/>
      <c r="AE1149" s="59"/>
      <c r="AH1149" s="9"/>
      <c r="AI1149" s="9"/>
      <c r="AL1149" s="9"/>
      <c r="AM1149" s="9"/>
      <c r="AP1149" s="9"/>
      <c r="AQ1149" s="9"/>
      <c r="AT1149" s="9"/>
      <c r="AU1149" s="9"/>
      <c r="AX1149" s="9"/>
      <c r="AY1149" s="9"/>
    </row>
    <row r="1150" spans="17:51" ht="12.75">
      <c r="Q1150" s="28"/>
      <c r="Y1150" s="28"/>
      <c r="AE1150" s="59"/>
      <c r="AH1150" s="9"/>
      <c r="AI1150" s="9"/>
      <c r="AL1150" s="9"/>
      <c r="AM1150" s="9"/>
      <c r="AP1150" s="9"/>
      <c r="AQ1150" s="9"/>
      <c r="AT1150" s="9"/>
      <c r="AU1150" s="9"/>
      <c r="AX1150" s="9"/>
      <c r="AY1150" s="9"/>
    </row>
    <row r="1151" spans="17:51" ht="12.75">
      <c r="Q1151" s="28"/>
      <c r="Y1151" s="28"/>
      <c r="AE1151" s="59"/>
      <c r="AH1151" s="9"/>
      <c r="AI1151" s="9"/>
      <c r="AL1151" s="9"/>
      <c r="AM1151" s="9"/>
      <c r="AP1151" s="9"/>
      <c r="AQ1151" s="9"/>
      <c r="AT1151" s="9"/>
      <c r="AU1151" s="9"/>
      <c r="AX1151" s="9"/>
      <c r="AY1151" s="9"/>
    </row>
    <row r="1152" spans="17:51" ht="12.75">
      <c r="Q1152" s="28"/>
      <c r="Y1152" s="28"/>
      <c r="AE1152" s="59"/>
      <c r="AH1152" s="9"/>
      <c r="AI1152" s="9"/>
      <c r="AL1152" s="9"/>
      <c r="AM1152" s="9"/>
      <c r="AP1152" s="9"/>
      <c r="AQ1152" s="9"/>
      <c r="AT1152" s="9"/>
      <c r="AU1152" s="9"/>
      <c r="AX1152" s="9"/>
      <c r="AY1152" s="9"/>
    </row>
    <row r="1153" spans="17:51" ht="12.75">
      <c r="Q1153" s="28"/>
      <c r="Y1153" s="28"/>
      <c r="AE1153" s="59"/>
      <c r="AH1153" s="9"/>
      <c r="AI1153" s="9"/>
      <c r="AL1153" s="9"/>
      <c r="AM1153" s="9"/>
      <c r="AP1153" s="9"/>
      <c r="AQ1153" s="9"/>
      <c r="AT1153" s="9"/>
      <c r="AU1153" s="9"/>
      <c r="AX1153" s="9"/>
      <c r="AY1153" s="9"/>
    </row>
    <row r="1154" spans="17:51" ht="12.75">
      <c r="Q1154" s="28"/>
      <c r="Y1154" s="28"/>
      <c r="AE1154" s="59"/>
      <c r="AH1154" s="9"/>
      <c r="AI1154" s="9"/>
      <c r="AL1154" s="9"/>
      <c r="AM1154" s="9"/>
      <c r="AP1154" s="9"/>
      <c r="AQ1154" s="9"/>
      <c r="AT1154" s="9"/>
      <c r="AU1154" s="9"/>
      <c r="AX1154" s="9"/>
      <c r="AY1154" s="9"/>
    </row>
    <row r="1155" spans="17:51" ht="12.75">
      <c r="Q1155" s="28"/>
      <c r="Y1155" s="28"/>
      <c r="AE1155" s="59"/>
      <c r="AH1155" s="9"/>
      <c r="AI1155" s="9"/>
      <c r="AL1155" s="9"/>
      <c r="AM1155" s="9"/>
      <c r="AP1155" s="9"/>
      <c r="AQ1155" s="9"/>
      <c r="AT1155" s="9"/>
      <c r="AU1155" s="9"/>
      <c r="AX1155" s="9"/>
      <c r="AY1155" s="9"/>
    </row>
    <row r="1156" spans="17:51" ht="12.75">
      <c r="Q1156" s="28"/>
      <c r="Y1156" s="28"/>
      <c r="AE1156" s="59"/>
      <c r="AH1156" s="9"/>
      <c r="AI1156" s="9"/>
      <c r="AL1156" s="9"/>
      <c r="AM1156" s="9"/>
      <c r="AP1156" s="9"/>
      <c r="AQ1156" s="9"/>
      <c r="AT1156" s="9"/>
      <c r="AU1156" s="9"/>
      <c r="AX1156" s="9"/>
      <c r="AY1156" s="9"/>
    </row>
    <row r="1157" spans="17:51" ht="12.75">
      <c r="Q1157" s="28"/>
      <c r="Y1157" s="28"/>
      <c r="AE1157" s="59"/>
      <c r="AH1157" s="9"/>
      <c r="AI1157" s="9"/>
      <c r="AL1157" s="9"/>
      <c r="AM1157" s="9"/>
      <c r="AP1157" s="9"/>
      <c r="AQ1157" s="9"/>
      <c r="AT1157" s="9"/>
      <c r="AU1157" s="9"/>
      <c r="AX1157" s="9"/>
      <c r="AY1157" s="9"/>
    </row>
    <row r="1158" spans="17:51" ht="12.75">
      <c r="Q1158" s="28"/>
      <c r="Y1158" s="28"/>
      <c r="AE1158" s="59"/>
      <c r="AH1158" s="9"/>
      <c r="AI1158" s="9"/>
      <c r="AL1158" s="9"/>
      <c r="AM1158" s="9"/>
      <c r="AP1158" s="9"/>
      <c r="AQ1158" s="9"/>
      <c r="AT1158" s="9"/>
      <c r="AU1158" s="9"/>
      <c r="AX1158" s="9"/>
      <c r="AY1158" s="9"/>
    </row>
    <row r="1159" spans="17:51" ht="12.75">
      <c r="Q1159" s="28"/>
      <c r="Y1159" s="28"/>
      <c r="AE1159" s="59"/>
      <c r="AH1159" s="9"/>
      <c r="AI1159" s="9"/>
      <c r="AL1159" s="9"/>
      <c r="AM1159" s="9"/>
      <c r="AP1159" s="9"/>
      <c r="AQ1159" s="9"/>
      <c r="AT1159" s="9"/>
      <c r="AU1159" s="9"/>
      <c r="AX1159" s="9"/>
      <c r="AY1159" s="9"/>
    </row>
    <row r="1160" spans="17:51" ht="12.75">
      <c r="Q1160" s="28"/>
      <c r="Y1160" s="28"/>
      <c r="AE1160" s="59"/>
      <c r="AH1160" s="9"/>
      <c r="AI1160" s="9"/>
      <c r="AL1160" s="9"/>
      <c r="AM1160" s="9"/>
      <c r="AP1160" s="9"/>
      <c r="AQ1160" s="9"/>
      <c r="AT1160" s="9"/>
      <c r="AU1160" s="9"/>
      <c r="AX1160" s="9"/>
      <c r="AY1160" s="9"/>
    </row>
    <row r="1161" spans="17:51" ht="12.75">
      <c r="Q1161" s="28"/>
      <c r="Y1161" s="28"/>
      <c r="AE1161" s="59"/>
      <c r="AH1161" s="9"/>
      <c r="AI1161" s="9"/>
      <c r="AL1161" s="9"/>
      <c r="AM1161" s="9"/>
      <c r="AP1161" s="9"/>
      <c r="AQ1161" s="9"/>
      <c r="AT1161" s="9"/>
      <c r="AU1161" s="9"/>
      <c r="AX1161" s="9"/>
      <c r="AY1161" s="9"/>
    </row>
    <row r="1162" spans="17:51" ht="12.75">
      <c r="Q1162" s="28"/>
      <c r="Y1162" s="28"/>
      <c r="AE1162" s="59"/>
      <c r="AH1162" s="9"/>
      <c r="AI1162" s="9"/>
      <c r="AL1162" s="9"/>
      <c r="AM1162" s="9"/>
      <c r="AP1162" s="9"/>
      <c r="AQ1162" s="9"/>
      <c r="AT1162" s="9"/>
      <c r="AU1162" s="9"/>
      <c r="AX1162" s="9"/>
      <c r="AY1162" s="9"/>
    </row>
    <row r="1163" spans="17:51" ht="12.75">
      <c r="Q1163" s="28"/>
      <c r="Y1163" s="28"/>
      <c r="AE1163" s="59"/>
      <c r="AH1163" s="9"/>
      <c r="AI1163" s="9"/>
      <c r="AL1163" s="9"/>
      <c r="AM1163" s="9"/>
      <c r="AP1163" s="9"/>
      <c r="AQ1163" s="9"/>
      <c r="AT1163" s="9"/>
      <c r="AU1163" s="9"/>
      <c r="AX1163" s="9"/>
      <c r="AY1163" s="9"/>
    </row>
    <row r="1164" spans="17:51" ht="12.75">
      <c r="Q1164" s="28"/>
      <c r="Y1164" s="28"/>
      <c r="AE1164" s="59"/>
      <c r="AH1164" s="9"/>
      <c r="AI1164" s="9"/>
      <c r="AL1164" s="9"/>
      <c r="AM1164" s="9"/>
      <c r="AP1164" s="9"/>
      <c r="AQ1164" s="9"/>
      <c r="AT1164" s="9"/>
      <c r="AU1164" s="9"/>
      <c r="AX1164" s="9"/>
      <c r="AY1164" s="9"/>
    </row>
    <row r="1165" spans="17:51" ht="12.75">
      <c r="Q1165" s="28"/>
      <c r="Y1165" s="28"/>
      <c r="AE1165" s="59"/>
      <c r="AH1165" s="9"/>
      <c r="AI1165" s="9"/>
      <c r="AL1165" s="9"/>
      <c r="AM1165" s="9"/>
      <c r="AP1165" s="9"/>
      <c r="AQ1165" s="9"/>
      <c r="AT1165" s="9"/>
      <c r="AU1165" s="9"/>
      <c r="AX1165" s="9"/>
      <c r="AY1165" s="9"/>
    </row>
    <row r="1166" spans="17:51" ht="12.75">
      <c r="Q1166" s="28"/>
      <c r="Y1166" s="28"/>
      <c r="AE1166" s="59"/>
      <c r="AH1166" s="9"/>
      <c r="AI1166" s="9"/>
      <c r="AL1166" s="9"/>
      <c r="AM1166" s="9"/>
      <c r="AP1166" s="9"/>
      <c r="AQ1166" s="9"/>
      <c r="AT1166" s="9"/>
      <c r="AU1166" s="9"/>
      <c r="AX1166" s="9"/>
      <c r="AY1166" s="9"/>
    </row>
    <row r="1167" spans="17:51" ht="12.75">
      <c r="Q1167" s="28"/>
      <c r="Y1167" s="28"/>
      <c r="AE1167" s="59"/>
      <c r="AH1167" s="9"/>
      <c r="AI1167" s="9"/>
      <c r="AL1167" s="9"/>
      <c r="AM1167" s="9"/>
      <c r="AP1167" s="9"/>
      <c r="AQ1167" s="9"/>
      <c r="AT1167" s="9"/>
      <c r="AU1167" s="9"/>
      <c r="AX1167" s="9"/>
      <c r="AY1167" s="9"/>
    </row>
    <row r="1168" spans="17:51" ht="12.75">
      <c r="Q1168" s="28"/>
      <c r="Y1168" s="28"/>
      <c r="AE1168" s="59"/>
      <c r="AH1168" s="9"/>
      <c r="AI1168" s="9"/>
      <c r="AL1168" s="9"/>
      <c r="AM1168" s="9"/>
      <c r="AP1168" s="9"/>
      <c r="AQ1168" s="9"/>
      <c r="AT1168" s="9"/>
      <c r="AU1168" s="9"/>
      <c r="AX1168" s="9"/>
      <c r="AY1168" s="9"/>
    </row>
    <row r="1169" spans="17:51" ht="12.75">
      <c r="Q1169" s="28"/>
      <c r="Y1169" s="28"/>
      <c r="AE1169" s="59"/>
      <c r="AH1169" s="9"/>
      <c r="AI1169" s="9"/>
      <c r="AL1169" s="9"/>
      <c r="AM1169" s="9"/>
      <c r="AP1169" s="9"/>
      <c r="AQ1169" s="9"/>
      <c r="AT1169" s="9"/>
      <c r="AU1169" s="9"/>
      <c r="AX1169" s="9"/>
      <c r="AY1169" s="9"/>
    </row>
    <row r="1170" spans="17:51" ht="12.75">
      <c r="Q1170" s="28"/>
      <c r="Y1170" s="28"/>
      <c r="AE1170" s="59"/>
      <c r="AH1170" s="9"/>
      <c r="AI1170" s="9"/>
      <c r="AL1170" s="9"/>
      <c r="AM1170" s="9"/>
      <c r="AP1170" s="9"/>
      <c r="AQ1170" s="9"/>
      <c r="AT1170" s="9"/>
      <c r="AU1170" s="9"/>
      <c r="AX1170" s="9"/>
      <c r="AY1170" s="9"/>
    </row>
    <row r="1171" spans="17:51" ht="12.75">
      <c r="Q1171" s="28"/>
      <c r="Y1171" s="28"/>
      <c r="AE1171" s="59"/>
      <c r="AH1171" s="9"/>
      <c r="AI1171" s="9"/>
      <c r="AL1171" s="9"/>
      <c r="AM1171" s="9"/>
      <c r="AP1171" s="9"/>
      <c r="AQ1171" s="9"/>
      <c r="AT1171" s="9"/>
      <c r="AU1171" s="9"/>
      <c r="AX1171" s="9"/>
      <c r="AY1171" s="9"/>
    </row>
    <row r="1172" spans="17:51" ht="12.75">
      <c r="Q1172" s="28"/>
      <c r="Y1172" s="28"/>
      <c r="AE1172" s="59"/>
      <c r="AH1172" s="9"/>
      <c r="AI1172" s="9"/>
      <c r="AL1172" s="9"/>
      <c r="AM1172" s="9"/>
      <c r="AP1172" s="9"/>
      <c r="AQ1172" s="9"/>
      <c r="AT1172" s="9"/>
      <c r="AU1172" s="9"/>
      <c r="AX1172" s="9"/>
      <c r="AY1172" s="9"/>
    </row>
    <row r="1173" spans="17:51" ht="12.75">
      <c r="Q1173" s="28"/>
      <c r="Y1173" s="28"/>
      <c r="AE1173" s="59"/>
      <c r="AH1173" s="9"/>
      <c r="AI1173" s="9"/>
      <c r="AL1173" s="9"/>
      <c r="AM1173" s="9"/>
      <c r="AP1173" s="9"/>
      <c r="AQ1173" s="9"/>
      <c r="AT1173" s="9"/>
      <c r="AU1173" s="9"/>
      <c r="AX1173" s="9"/>
      <c r="AY1173" s="9"/>
    </row>
    <row r="1174" spans="17:51" ht="12.75">
      <c r="Q1174" s="28"/>
      <c r="Y1174" s="28"/>
      <c r="AE1174" s="59"/>
      <c r="AH1174" s="9"/>
      <c r="AI1174" s="9"/>
      <c r="AL1174" s="9"/>
      <c r="AM1174" s="9"/>
      <c r="AP1174" s="9"/>
      <c r="AQ1174" s="9"/>
      <c r="AT1174" s="9"/>
      <c r="AU1174" s="9"/>
      <c r="AX1174" s="9"/>
      <c r="AY1174" s="9"/>
    </row>
    <row r="1175" spans="17:51" ht="12.75">
      <c r="Q1175" s="28"/>
      <c r="Y1175" s="28"/>
      <c r="AE1175" s="59"/>
      <c r="AH1175" s="9"/>
      <c r="AI1175" s="9"/>
      <c r="AL1175" s="9"/>
      <c r="AM1175" s="9"/>
      <c r="AP1175" s="9"/>
      <c r="AQ1175" s="9"/>
      <c r="AT1175" s="9"/>
      <c r="AU1175" s="9"/>
      <c r="AX1175" s="9"/>
      <c r="AY1175" s="9"/>
    </row>
    <row r="1176" spans="17:51" ht="12.75">
      <c r="Q1176" s="28"/>
      <c r="Y1176" s="28"/>
      <c r="AE1176" s="59"/>
      <c r="AH1176" s="9"/>
      <c r="AI1176" s="9"/>
      <c r="AL1176" s="9"/>
      <c r="AM1176" s="9"/>
      <c r="AP1176" s="9"/>
      <c r="AQ1176" s="9"/>
      <c r="AT1176" s="9"/>
      <c r="AU1176" s="9"/>
      <c r="AX1176" s="9"/>
      <c r="AY1176" s="9"/>
    </row>
    <row r="1177" spans="17:51" ht="12.75">
      <c r="Q1177" s="28"/>
      <c r="Y1177" s="28"/>
      <c r="AE1177" s="59"/>
      <c r="AH1177" s="9"/>
      <c r="AI1177" s="9"/>
      <c r="AL1177" s="9"/>
      <c r="AM1177" s="9"/>
      <c r="AP1177" s="9"/>
      <c r="AQ1177" s="9"/>
      <c r="AT1177" s="9"/>
      <c r="AU1177" s="9"/>
      <c r="AX1177" s="9"/>
      <c r="AY1177" s="9"/>
    </row>
    <row r="1178" spans="17:51" ht="12.75">
      <c r="Q1178" s="28"/>
      <c r="Y1178" s="28"/>
      <c r="AE1178" s="59"/>
      <c r="AH1178" s="9"/>
      <c r="AI1178" s="9"/>
      <c r="AL1178" s="9"/>
      <c r="AM1178" s="9"/>
      <c r="AP1178" s="9"/>
      <c r="AQ1178" s="9"/>
      <c r="AT1178" s="9"/>
      <c r="AU1178" s="9"/>
      <c r="AX1178" s="9"/>
      <c r="AY1178" s="9"/>
    </row>
    <row r="1179" spans="17:51" ht="12.75">
      <c r="Q1179" s="28"/>
      <c r="Y1179" s="28"/>
      <c r="AE1179" s="59"/>
      <c r="AH1179" s="9"/>
      <c r="AI1179" s="9"/>
      <c r="AL1179" s="9"/>
      <c r="AM1179" s="9"/>
      <c r="AP1179" s="9"/>
      <c r="AQ1179" s="9"/>
      <c r="AT1179" s="9"/>
      <c r="AU1179" s="9"/>
      <c r="AX1179" s="9"/>
      <c r="AY1179" s="9"/>
    </row>
    <row r="1180" spans="17:51" ht="12.75">
      <c r="Q1180" s="28"/>
      <c r="Y1180" s="28"/>
      <c r="AE1180" s="59"/>
      <c r="AH1180" s="9"/>
      <c r="AI1180" s="9"/>
      <c r="AL1180" s="9"/>
      <c r="AM1180" s="9"/>
      <c r="AP1180" s="9"/>
      <c r="AQ1180" s="9"/>
      <c r="AT1180" s="9"/>
      <c r="AU1180" s="9"/>
      <c r="AX1180" s="9"/>
      <c r="AY1180" s="9"/>
    </row>
    <row r="1181" spans="17:51" ht="12.75">
      <c r="Q1181" s="28"/>
      <c r="Y1181" s="28"/>
      <c r="AE1181" s="59"/>
      <c r="AH1181" s="9"/>
      <c r="AI1181" s="9"/>
      <c r="AL1181" s="9"/>
      <c r="AM1181" s="9"/>
      <c r="AP1181" s="9"/>
      <c r="AQ1181" s="9"/>
      <c r="AT1181" s="9"/>
      <c r="AU1181" s="9"/>
      <c r="AX1181" s="9"/>
      <c r="AY1181" s="9"/>
    </row>
    <row r="1182" spans="17:51" ht="12.75">
      <c r="Q1182" s="28"/>
      <c r="Y1182" s="28"/>
      <c r="AE1182" s="59"/>
      <c r="AH1182" s="9"/>
      <c r="AI1182" s="9"/>
      <c r="AL1182" s="9"/>
      <c r="AM1182" s="9"/>
      <c r="AP1182" s="9"/>
      <c r="AQ1182" s="9"/>
      <c r="AT1182" s="9"/>
      <c r="AU1182" s="9"/>
      <c r="AX1182" s="9"/>
      <c r="AY1182" s="9"/>
    </row>
    <row r="1183" spans="17:51" ht="12.75">
      <c r="Q1183" s="28"/>
      <c r="Y1183" s="28"/>
      <c r="AE1183" s="59"/>
      <c r="AH1183" s="9"/>
      <c r="AI1183" s="9"/>
      <c r="AL1183" s="9"/>
      <c r="AM1183" s="9"/>
      <c r="AP1183" s="9"/>
      <c r="AQ1183" s="9"/>
      <c r="AT1183" s="9"/>
      <c r="AU1183" s="9"/>
      <c r="AX1183" s="9"/>
      <c r="AY1183" s="9"/>
    </row>
    <row r="1184" spans="17:51" ht="12.75">
      <c r="Q1184" s="28"/>
      <c r="Y1184" s="28"/>
      <c r="AE1184" s="59"/>
      <c r="AH1184" s="9"/>
      <c r="AI1184" s="9"/>
      <c r="AL1184" s="9"/>
      <c r="AM1184" s="9"/>
      <c r="AP1184" s="9"/>
      <c r="AQ1184" s="9"/>
      <c r="AT1184" s="9"/>
      <c r="AU1184" s="9"/>
      <c r="AX1184" s="9"/>
      <c r="AY1184" s="9"/>
    </row>
    <row r="1185" spans="17:51" ht="12.75">
      <c r="Q1185" s="28"/>
      <c r="Y1185" s="28"/>
      <c r="AE1185" s="59"/>
      <c r="AH1185" s="9"/>
      <c r="AI1185" s="9"/>
      <c r="AL1185" s="9"/>
      <c r="AM1185" s="9"/>
      <c r="AP1185" s="9"/>
      <c r="AQ1185" s="9"/>
      <c r="AT1185" s="9"/>
      <c r="AU1185" s="9"/>
      <c r="AX1185" s="9"/>
      <c r="AY1185" s="9"/>
    </row>
    <row r="1186" spans="17:51" ht="12.75">
      <c r="Q1186" s="28"/>
      <c r="Y1186" s="28"/>
      <c r="AE1186" s="59"/>
      <c r="AH1186" s="9"/>
      <c r="AI1186" s="9"/>
      <c r="AL1186" s="9"/>
      <c r="AM1186" s="9"/>
      <c r="AP1186" s="9"/>
      <c r="AQ1186" s="9"/>
      <c r="AT1186" s="9"/>
      <c r="AU1186" s="9"/>
      <c r="AX1186" s="9"/>
      <c r="AY1186" s="9"/>
    </row>
    <row r="1187" spans="17:51" ht="12.75">
      <c r="Q1187" s="28"/>
      <c r="Y1187" s="28"/>
      <c r="AE1187" s="59"/>
      <c r="AH1187" s="9"/>
      <c r="AI1187" s="9"/>
      <c r="AL1187" s="9"/>
      <c r="AM1187" s="9"/>
      <c r="AP1187" s="9"/>
      <c r="AQ1187" s="9"/>
      <c r="AT1187" s="9"/>
      <c r="AU1187" s="9"/>
      <c r="AX1187" s="9"/>
      <c r="AY1187" s="9"/>
    </row>
    <row r="1188" spans="17:51" ht="12.75">
      <c r="Q1188" s="28"/>
      <c r="Y1188" s="28"/>
      <c r="AE1188" s="59"/>
      <c r="AH1188" s="9"/>
      <c r="AI1188" s="9"/>
      <c r="AL1188" s="9"/>
      <c r="AM1188" s="9"/>
      <c r="AP1188" s="9"/>
      <c r="AQ1188" s="9"/>
      <c r="AT1188" s="9"/>
      <c r="AU1188" s="9"/>
      <c r="AX1188" s="9"/>
      <c r="AY1188" s="9"/>
    </row>
    <row r="1189" spans="17:51" ht="12.75">
      <c r="Q1189" s="28"/>
      <c r="Y1189" s="28"/>
      <c r="AE1189" s="59"/>
      <c r="AH1189" s="9"/>
      <c r="AI1189" s="9"/>
      <c r="AL1189" s="9"/>
      <c r="AM1189" s="9"/>
      <c r="AP1189" s="9"/>
      <c r="AQ1189" s="9"/>
      <c r="AT1189" s="9"/>
      <c r="AU1189" s="9"/>
      <c r="AX1189" s="9"/>
      <c r="AY1189" s="9"/>
    </row>
    <row r="1190" spans="17:51" ht="12.75">
      <c r="Q1190" s="28"/>
      <c r="Y1190" s="28"/>
      <c r="AE1190" s="59"/>
      <c r="AH1190" s="9"/>
      <c r="AI1190" s="9"/>
      <c r="AL1190" s="9"/>
      <c r="AM1190" s="9"/>
      <c r="AP1190" s="9"/>
      <c r="AQ1190" s="9"/>
      <c r="AT1190" s="9"/>
      <c r="AU1190" s="9"/>
      <c r="AX1190" s="9"/>
      <c r="AY1190" s="9"/>
    </row>
    <row r="1191" spans="17:51" ht="12.75">
      <c r="Q1191" s="28"/>
      <c r="Y1191" s="28"/>
      <c r="AE1191" s="59"/>
      <c r="AH1191" s="9"/>
      <c r="AI1191" s="9"/>
      <c r="AL1191" s="9"/>
      <c r="AM1191" s="9"/>
      <c r="AP1191" s="9"/>
      <c r="AQ1191" s="9"/>
      <c r="AT1191" s="9"/>
      <c r="AU1191" s="9"/>
      <c r="AX1191" s="9"/>
      <c r="AY1191" s="9"/>
    </row>
    <row r="1192" spans="17:51" ht="12.75">
      <c r="Q1192" s="28"/>
      <c r="Y1192" s="28"/>
      <c r="AE1192" s="59"/>
      <c r="AH1192" s="9"/>
      <c r="AI1192" s="9"/>
      <c r="AL1192" s="9"/>
      <c r="AM1192" s="9"/>
      <c r="AP1192" s="9"/>
      <c r="AQ1192" s="9"/>
      <c r="AT1192" s="9"/>
      <c r="AU1192" s="9"/>
      <c r="AX1192" s="9"/>
      <c r="AY1192" s="9"/>
    </row>
    <row r="1193" spans="17:51" ht="12.75">
      <c r="Q1193" s="28"/>
      <c r="Y1193" s="28"/>
      <c r="AE1193" s="59"/>
      <c r="AH1193" s="9"/>
      <c r="AI1193" s="9"/>
      <c r="AL1193" s="9"/>
      <c r="AM1193" s="9"/>
      <c r="AP1193" s="9"/>
      <c r="AQ1193" s="9"/>
      <c r="AT1193" s="9"/>
      <c r="AU1193" s="9"/>
      <c r="AX1193" s="9"/>
      <c r="AY1193" s="9"/>
    </row>
    <row r="1194" spans="17:51" ht="12.75">
      <c r="Q1194" s="28"/>
      <c r="Y1194" s="28"/>
      <c r="AE1194" s="59"/>
      <c r="AH1194" s="9"/>
      <c r="AI1194" s="9"/>
      <c r="AL1194" s="9"/>
      <c r="AM1194" s="9"/>
      <c r="AP1194" s="9"/>
      <c r="AQ1194" s="9"/>
      <c r="AT1194" s="9"/>
      <c r="AU1194" s="9"/>
      <c r="AX1194" s="9"/>
      <c r="AY1194" s="9"/>
    </row>
    <row r="1195" spans="17:51" ht="12.75">
      <c r="Q1195" s="28"/>
      <c r="Y1195" s="28"/>
      <c r="AE1195" s="59"/>
      <c r="AH1195" s="9"/>
      <c r="AI1195" s="9"/>
      <c r="AL1195" s="9"/>
      <c r="AM1195" s="9"/>
      <c r="AP1195" s="9"/>
      <c r="AQ1195" s="9"/>
      <c r="AT1195" s="9"/>
      <c r="AU1195" s="9"/>
      <c r="AX1195" s="9"/>
      <c r="AY1195" s="9"/>
    </row>
    <row r="1196" spans="17:51" ht="12.75">
      <c r="Q1196" s="28"/>
      <c r="Y1196" s="28"/>
      <c r="AE1196" s="59"/>
      <c r="AH1196" s="9"/>
      <c r="AI1196" s="9"/>
      <c r="AL1196" s="9"/>
      <c r="AM1196" s="9"/>
      <c r="AP1196" s="9"/>
      <c r="AQ1196" s="9"/>
      <c r="AT1196" s="9"/>
      <c r="AU1196" s="9"/>
      <c r="AX1196" s="9"/>
      <c r="AY1196" s="9"/>
    </row>
    <row r="1197" spans="17:51" ht="12.75">
      <c r="Q1197" s="28"/>
      <c r="Y1197" s="28"/>
      <c r="AE1197" s="59"/>
      <c r="AH1197" s="9"/>
      <c r="AI1197" s="9"/>
      <c r="AL1197" s="9"/>
      <c r="AM1197" s="9"/>
      <c r="AP1197" s="9"/>
      <c r="AQ1197" s="9"/>
      <c r="AT1197" s="9"/>
      <c r="AU1197" s="9"/>
      <c r="AX1197" s="9"/>
      <c r="AY1197" s="9"/>
    </row>
    <row r="1198" spans="17:51" ht="12.75">
      <c r="Q1198" s="28"/>
      <c r="Y1198" s="28"/>
      <c r="AE1198" s="59"/>
      <c r="AH1198" s="9"/>
      <c r="AI1198" s="9"/>
      <c r="AL1198" s="9"/>
      <c r="AM1198" s="9"/>
      <c r="AP1198" s="9"/>
      <c r="AQ1198" s="9"/>
      <c r="AT1198" s="9"/>
      <c r="AU1198" s="9"/>
      <c r="AX1198" s="9"/>
      <c r="AY1198" s="9"/>
    </row>
    <row r="1199" spans="17:51" ht="12.75">
      <c r="Q1199" s="28"/>
      <c r="Y1199" s="28"/>
      <c r="AE1199" s="59"/>
      <c r="AH1199" s="9"/>
      <c r="AI1199" s="9"/>
      <c r="AL1199" s="9"/>
      <c r="AM1199" s="9"/>
      <c r="AP1199" s="9"/>
      <c r="AQ1199" s="9"/>
      <c r="AT1199" s="9"/>
      <c r="AU1199" s="9"/>
      <c r="AX1199" s="9"/>
      <c r="AY1199" s="9"/>
    </row>
    <row r="1200" spans="17:51" ht="12.75">
      <c r="Q1200" s="28"/>
      <c r="Y1200" s="28"/>
      <c r="AE1200" s="59"/>
      <c r="AH1200" s="9"/>
      <c r="AI1200" s="9"/>
      <c r="AL1200" s="9"/>
      <c r="AM1200" s="9"/>
      <c r="AP1200" s="9"/>
      <c r="AQ1200" s="9"/>
      <c r="AT1200" s="9"/>
      <c r="AU1200" s="9"/>
      <c r="AX1200" s="9"/>
      <c r="AY1200" s="9"/>
    </row>
    <row r="1201" spans="17:51" ht="12.75">
      <c r="Q1201" s="28"/>
      <c r="Y1201" s="28"/>
      <c r="AE1201" s="59"/>
      <c r="AH1201" s="9"/>
      <c r="AI1201" s="9"/>
      <c r="AL1201" s="9"/>
      <c r="AM1201" s="9"/>
      <c r="AP1201" s="9"/>
      <c r="AQ1201" s="9"/>
      <c r="AT1201" s="9"/>
      <c r="AU1201" s="9"/>
      <c r="AX1201" s="9"/>
      <c r="AY1201" s="9"/>
    </row>
    <row r="1202" spans="17:51" ht="12.75">
      <c r="Q1202" s="28"/>
      <c r="Y1202" s="28"/>
      <c r="AE1202" s="59"/>
      <c r="AH1202" s="9"/>
      <c r="AI1202" s="9"/>
      <c r="AL1202" s="9"/>
      <c r="AM1202" s="9"/>
      <c r="AP1202" s="9"/>
      <c r="AQ1202" s="9"/>
      <c r="AT1202" s="9"/>
      <c r="AU1202" s="9"/>
      <c r="AX1202" s="9"/>
      <c r="AY1202" s="9"/>
    </row>
    <row r="1203" spans="17:51" ht="12.75">
      <c r="Q1203" s="28"/>
      <c r="Y1203" s="28"/>
      <c r="AE1203" s="59"/>
      <c r="AH1203" s="9"/>
      <c r="AI1203" s="9"/>
      <c r="AL1203" s="9"/>
      <c r="AM1203" s="9"/>
      <c r="AP1203" s="9"/>
      <c r="AQ1203" s="9"/>
      <c r="AT1203" s="9"/>
      <c r="AU1203" s="9"/>
      <c r="AX1203" s="9"/>
      <c r="AY1203" s="9"/>
    </row>
    <row r="1204" spans="17:51" ht="12.75">
      <c r="Q1204" s="28"/>
      <c r="Y1204" s="28"/>
      <c r="AE1204" s="59"/>
      <c r="AH1204" s="9"/>
      <c r="AI1204" s="9"/>
      <c r="AL1204" s="9"/>
      <c r="AM1204" s="9"/>
      <c r="AP1204" s="9"/>
      <c r="AQ1204" s="9"/>
      <c r="AT1204" s="9"/>
      <c r="AU1204" s="9"/>
      <c r="AX1204" s="9"/>
      <c r="AY1204" s="9"/>
    </row>
    <row r="1205" spans="17:51" ht="12.75">
      <c r="Q1205" s="28"/>
      <c r="Y1205" s="28"/>
      <c r="AE1205" s="59"/>
      <c r="AH1205" s="9"/>
      <c r="AI1205" s="9"/>
      <c r="AL1205" s="9"/>
      <c r="AM1205" s="9"/>
      <c r="AP1205" s="9"/>
      <c r="AQ1205" s="9"/>
      <c r="AT1205" s="9"/>
      <c r="AU1205" s="9"/>
      <c r="AX1205" s="9"/>
      <c r="AY1205" s="9"/>
    </row>
    <row r="1206" spans="17:51" ht="12.75">
      <c r="Q1206" s="28"/>
      <c r="Y1206" s="28"/>
      <c r="AE1206" s="59"/>
      <c r="AH1206" s="9"/>
      <c r="AI1206" s="9"/>
      <c r="AL1206" s="9"/>
      <c r="AM1206" s="9"/>
      <c r="AP1206" s="9"/>
      <c r="AQ1206" s="9"/>
      <c r="AT1206" s="9"/>
      <c r="AU1206" s="9"/>
      <c r="AX1206" s="9"/>
      <c r="AY1206" s="9"/>
    </row>
    <row r="1207" spans="17:51" ht="12.75">
      <c r="Q1207" s="28"/>
      <c r="Y1207" s="28"/>
      <c r="AE1207" s="59"/>
      <c r="AH1207" s="9"/>
      <c r="AI1207" s="9"/>
      <c r="AL1207" s="9"/>
      <c r="AM1207" s="9"/>
      <c r="AP1207" s="9"/>
      <c r="AQ1207" s="9"/>
      <c r="AT1207" s="9"/>
      <c r="AU1207" s="9"/>
      <c r="AX1207" s="9"/>
      <c r="AY1207" s="9"/>
    </row>
    <row r="1208" spans="17:51" ht="12.75">
      <c r="Q1208" s="28"/>
      <c r="Y1208" s="28"/>
      <c r="AE1208" s="59"/>
      <c r="AH1208" s="9"/>
      <c r="AI1208" s="9"/>
      <c r="AL1208" s="9"/>
      <c r="AM1208" s="9"/>
      <c r="AP1208" s="9"/>
      <c r="AQ1208" s="9"/>
      <c r="AT1208" s="9"/>
      <c r="AU1208" s="9"/>
      <c r="AX1208" s="9"/>
      <c r="AY1208" s="9"/>
    </row>
    <row r="1209" spans="17:51" ht="12.75">
      <c r="Q1209" s="28"/>
      <c r="Y1209" s="28"/>
      <c r="AE1209" s="59"/>
      <c r="AH1209" s="9"/>
      <c r="AI1209" s="9"/>
      <c r="AL1209" s="9"/>
      <c r="AM1209" s="9"/>
      <c r="AP1209" s="9"/>
      <c r="AQ1209" s="9"/>
      <c r="AT1209" s="9"/>
      <c r="AU1209" s="9"/>
      <c r="AX1209" s="9"/>
      <c r="AY1209" s="9"/>
    </row>
    <row r="1210" spans="17:51" ht="12.75">
      <c r="Q1210" s="28"/>
      <c r="Y1210" s="28"/>
      <c r="AE1210" s="59"/>
      <c r="AH1210" s="9"/>
      <c r="AI1210" s="9"/>
      <c r="AL1210" s="9"/>
      <c r="AM1210" s="9"/>
      <c r="AP1210" s="9"/>
      <c r="AQ1210" s="9"/>
      <c r="AT1210" s="9"/>
      <c r="AU1210" s="9"/>
      <c r="AX1210" s="9"/>
      <c r="AY1210" s="9"/>
    </row>
    <row r="1211" spans="17:51" ht="12.75">
      <c r="Q1211" s="28"/>
      <c r="Y1211" s="28"/>
      <c r="AE1211" s="59"/>
      <c r="AH1211" s="9"/>
      <c r="AI1211" s="9"/>
      <c r="AL1211" s="9"/>
      <c r="AM1211" s="9"/>
      <c r="AP1211" s="9"/>
      <c r="AQ1211" s="9"/>
      <c r="AT1211" s="9"/>
      <c r="AU1211" s="9"/>
      <c r="AX1211" s="9"/>
      <c r="AY1211" s="9"/>
    </row>
    <row r="1212" spans="17:51" ht="12.75">
      <c r="Q1212" s="28"/>
      <c r="Y1212" s="28"/>
      <c r="AE1212" s="59"/>
      <c r="AH1212" s="9"/>
      <c r="AI1212" s="9"/>
      <c r="AL1212" s="9"/>
      <c r="AM1212" s="9"/>
      <c r="AP1212" s="9"/>
      <c r="AQ1212" s="9"/>
      <c r="AT1212" s="9"/>
      <c r="AU1212" s="9"/>
      <c r="AX1212" s="9"/>
      <c r="AY1212" s="9"/>
    </row>
    <row r="1213" spans="17:51" ht="12.75">
      <c r="Q1213" s="28"/>
      <c r="Y1213" s="28"/>
      <c r="AE1213" s="59"/>
      <c r="AH1213" s="9"/>
      <c r="AI1213" s="9"/>
      <c r="AL1213" s="9"/>
      <c r="AM1213" s="9"/>
      <c r="AP1213" s="9"/>
      <c r="AQ1213" s="9"/>
      <c r="AT1213" s="9"/>
      <c r="AU1213" s="9"/>
      <c r="AX1213" s="9"/>
      <c r="AY1213" s="9"/>
    </row>
    <row r="1214" spans="17:51" ht="12.75">
      <c r="Q1214" s="28"/>
      <c r="Y1214" s="28"/>
      <c r="AE1214" s="59"/>
      <c r="AH1214" s="9"/>
      <c r="AI1214" s="9"/>
      <c r="AL1214" s="9"/>
      <c r="AM1214" s="9"/>
      <c r="AP1214" s="9"/>
      <c r="AQ1214" s="9"/>
      <c r="AT1214" s="9"/>
      <c r="AU1214" s="9"/>
      <c r="AX1214" s="9"/>
      <c r="AY1214" s="9"/>
    </row>
    <row r="1215" spans="17:51" ht="12.75">
      <c r="Q1215" s="28"/>
      <c r="Y1215" s="28"/>
      <c r="AE1215" s="59"/>
      <c r="AH1215" s="9"/>
      <c r="AI1215" s="9"/>
      <c r="AL1215" s="9"/>
      <c r="AM1215" s="9"/>
      <c r="AP1215" s="9"/>
      <c r="AQ1215" s="9"/>
      <c r="AT1215" s="9"/>
      <c r="AU1215" s="9"/>
      <c r="AX1215" s="9"/>
      <c r="AY1215" s="9"/>
    </row>
    <row r="1216" spans="17:51" ht="12.75">
      <c r="Q1216" s="28"/>
      <c r="Y1216" s="28"/>
      <c r="AE1216" s="59"/>
      <c r="AH1216" s="9"/>
      <c r="AI1216" s="9"/>
      <c r="AL1216" s="9"/>
      <c r="AM1216" s="9"/>
      <c r="AP1216" s="9"/>
      <c r="AQ1216" s="9"/>
      <c r="AT1216" s="9"/>
      <c r="AU1216" s="9"/>
      <c r="AX1216" s="9"/>
      <c r="AY1216" s="9"/>
    </row>
    <row r="1217" spans="17:51" ht="12.75">
      <c r="Q1217" s="28"/>
      <c r="Y1217" s="28"/>
      <c r="AE1217" s="59"/>
      <c r="AH1217" s="9"/>
      <c r="AI1217" s="9"/>
      <c r="AL1217" s="9"/>
      <c r="AM1217" s="9"/>
      <c r="AP1217" s="9"/>
      <c r="AQ1217" s="9"/>
      <c r="AT1217" s="9"/>
      <c r="AU1217" s="9"/>
      <c r="AX1217" s="9"/>
      <c r="AY1217" s="9"/>
    </row>
    <row r="1218" spans="17:51" ht="12.75">
      <c r="Q1218" s="28"/>
      <c r="Y1218" s="28"/>
      <c r="AE1218" s="59"/>
      <c r="AH1218" s="9"/>
      <c r="AI1218" s="9"/>
      <c r="AL1218" s="9"/>
      <c r="AM1218" s="9"/>
      <c r="AP1218" s="9"/>
      <c r="AQ1218" s="9"/>
      <c r="AT1218" s="9"/>
      <c r="AU1218" s="9"/>
      <c r="AX1218" s="9"/>
      <c r="AY1218" s="9"/>
    </row>
    <row r="1219" spans="17:51" ht="12.75">
      <c r="Q1219" s="28"/>
      <c r="Y1219" s="28"/>
      <c r="AE1219" s="59"/>
      <c r="AH1219" s="9"/>
      <c r="AI1219" s="9"/>
      <c r="AL1219" s="9"/>
      <c r="AM1219" s="9"/>
      <c r="AP1219" s="9"/>
      <c r="AQ1219" s="9"/>
      <c r="AT1219" s="9"/>
      <c r="AU1219" s="9"/>
      <c r="AX1219" s="9"/>
      <c r="AY1219" s="9"/>
    </row>
    <row r="1220" spans="17:51" ht="12.75">
      <c r="Q1220" s="28"/>
      <c r="Y1220" s="28"/>
      <c r="AE1220" s="59"/>
      <c r="AH1220" s="9"/>
      <c r="AI1220" s="9"/>
      <c r="AL1220" s="9"/>
      <c r="AM1220" s="9"/>
      <c r="AP1220" s="9"/>
      <c r="AQ1220" s="9"/>
      <c r="AT1220" s="9"/>
      <c r="AU1220" s="9"/>
      <c r="AX1220" s="9"/>
      <c r="AY1220" s="9"/>
    </row>
    <row r="1221" spans="17:51" ht="12.75">
      <c r="Q1221" s="28"/>
      <c r="Y1221" s="28"/>
      <c r="AE1221" s="59"/>
      <c r="AH1221" s="9"/>
      <c r="AI1221" s="9"/>
      <c r="AL1221" s="9"/>
      <c r="AM1221" s="9"/>
      <c r="AP1221" s="9"/>
      <c r="AQ1221" s="9"/>
      <c r="AT1221" s="9"/>
      <c r="AU1221" s="9"/>
      <c r="AX1221" s="9"/>
      <c r="AY1221" s="9"/>
    </row>
    <row r="1222" spans="17:51" ht="12.75">
      <c r="Q1222" s="28"/>
      <c r="Y1222" s="28"/>
      <c r="AE1222" s="59"/>
      <c r="AH1222" s="9"/>
      <c r="AI1222" s="9"/>
      <c r="AL1222" s="9"/>
      <c r="AM1222" s="9"/>
      <c r="AP1222" s="9"/>
      <c r="AQ1222" s="9"/>
      <c r="AT1222" s="9"/>
      <c r="AU1222" s="9"/>
      <c r="AX1222" s="9"/>
      <c r="AY1222" s="9"/>
    </row>
    <row r="1223" spans="17:51" ht="12.75">
      <c r="Q1223" s="28"/>
      <c r="Y1223" s="28"/>
      <c r="AE1223" s="59"/>
      <c r="AH1223" s="9"/>
      <c r="AI1223" s="9"/>
      <c r="AL1223" s="9"/>
      <c r="AM1223" s="9"/>
      <c r="AP1223" s="9"/>
      <c r="AQ1223" s="9"/>
      <c r="AT1223" s="9"/>
      <c r="AU1223" s="9"/>
      <c r="AX1223" s="9"/>
      <c r="AY1223" s="9"/>
    </row>
    <row r="1224" spans="17:51" ht="12.75">
      <c r="Q1224" s="28"/>
      <c r="Y1224" s="28"/>
      <c r="AE1224" s="59"/>
      <c r="AH1224" s="9"/>
      <c r="AI1224" s="9"/>
      <c r="AL1224" s="9"/>
      <c r="AM1224" s="9"/>
      <c r="AP1224" s="9"/>
      <c r="AQ1224" s="9"/>
      <c r="AT1224" s="9"/>
      <c r="AU1224" s="9"/>
      <c r="AX1224" s="9"/>
      <c r="AY1224" s="9"/>
    </row>
    <row r="1225" spans="17:51" ht="12.75">
      <c r="Q1225" s="28"/>
      <c r="Y1225" s="28"/>
      <c r="AE1225" s="59"/>
      <c r="AH1225" s="9"/>
      <c r="AI1225" s="9"/>
      <c r="AL1225" s="9"/>
      <c r="AM1225" s="9"/>
      <c r="AP1225" s="9"/>
      <c r="AQ1225" s="9"/>
      <c r="AT1225" s="9"/>
      <c r="AU1225" s="9"/>
      <c r="AX1225" s="9"/>
      <c r="AY1225" s="9"/>
    </row>
    <row r="1226" spans="17:51" ht="12.75">
      <c r="Q1226" s="28"/>
      <c r="Y1226" s="28"/>
      <c r="AE1226" s="59"/>
      <c r="AH1226" s="9"/>
      <c r="AI1226" s="9"/>
      <c r="AL1226" s="9"/>
      <c r="AM1226" s="9"/>
      <c r="AP1226" s="9"/>
      <c r="AQ1226" s="9"/>
      <c r="AT1226" s="9"/>
      <c r="AU1226" s="9"/>
      <c r="AX1226" s="9"/>
      <c r="AY1226" s="9"/>
    </row>
    <row r="1227" spans="17:51" ht="12.75">
      <c r="Q1227" s="28"/>
      <c r="Y1227" s="28"/>
      <c r="AE1227" s="59"/>
      <c r="AH1227" s="9"/>
      <c r="AI1227" s="9"/>
      <c r="AL1227" s="9"/>
      <c r="AM1227" s="9"/>
      <c r="AP1227" s="9"/>
      <c r="AQ1227" s="9"/>
      <c r="AT1227" s="9"/>
      <c r="AU1227" s="9"/>
      <c r="AX1227" s="9"/>
      <c r="AY1227" s="9"/>
    </row>
    <row r="1228" spans="17:51" ht="12.75">
      <c r="Q1228" s="28"/>
      <c r="Y1228" s="28"/>
      <c r="AE1228" s="59"/>
      <c r="AH1228" s="9"/>
      <c r="AI1228" s="9"/>
      <c r="AL1228" s="9"/>
      <c r="AM1228" s="9"/>
      <c r="AP1228" s="9"/>
      <c r="AQ1228" s="9"/>
      <c r="AT1228" s="9"/>
      <c r="AU1228" s="9"/>
      <c r="AX1228" s="9"/>
      <c r="AY1228" s="9"/>
    </row>
    <row r="1229" spans="17:51" ht="12.75">
      <c r="Q1229" s="28"/>
      <c r="Y1229" s="28"/>
      <c r="AE1229" s="59"/>
      <c r="AH1229" s="9"/>
      <c r="AI1229" s="9"/>
      <c r="AL1229" s="9"/>
      <c r="AM1229" s="9"/>
      <c r="AP1229" s="9"/>
      <c r="AQ1229" s="9"/>
      <c r="AT1229" s="9"/>
      <c r="AU1229" s="9"/>
      <c r="AX1229" s="9"/>
      <c r="AY1229" s="9"/>
    </row>
    <row r="1230" spans="17:51" ht="12.75">
      <c r="Q1230" s="28"/>
      <c r="Y1230" s="28"/>
      <c r="AE1230" s="59"/>
      <c r="AH1230" s="9"/>
      <c r="AI1230" s="9"/>
      <c r="AL1230" s="9"/>
      <c r="AM1230" s="9"/>
      <c r="AP1230" s="9"/>
      <c r="AQ1230" s="9"/>
      <c r="AT1230" s="9"/>
      <c r="AU1230" s="9"/>
      <c r="AX1230" s="9"/>
      <c r="AY1230" s="9"/>
    </row>
    <row r="1231" spans="17:51" ht="12.75">
      <c r="Q1231" s="28"/>
      <c r="Y1231" s="28"/>
      <c r="AE1231" s="59"/>
      <c r="AH1231" s="9"/>
      <c r="AI1231" s="9"/>
      <c r="AL1231" s="9"/>
      <c r="AM1231" s="9"/>
      <c r="AP1231" s="9"/>
      <c r="AQ1231" s="9"/>
      <c r="AT1231" s="9"/>
      <c r="AU1231" s="9"/>
      <c r="AX1231" s="9"/>
      <c r="AY1231" s="9"/>
    </row>
    <row r="1232" spans="17:51" ht="12.75">
      <c r="Q1232" s="28"/>
      <c r="Y1232" s="28"/>
      <c r="AE1232" s="59"/>
      <c r="AH1232" s="9"/>
      <c r="AI1232" s="9"/>
      <c r="AL1232" s="9"/>
      <c r="AM1232" s="9"/>
      <c r="AP1232" s="9"/>
      <c r="AQ1232" s="9"/>
      <c r="AT1232" s="9"/>
      <c r="AU1232" s="9"/>
      <c r="AX1232" s="9"/>
      <c r="AY1232" s="9"/>
    </row>
    <row r="1233" spans="17:51" ht="12.75">
      <c r="Q1233" s="28"/>
      <c r="Y1233" s="28"/>
      <c r="AE1233" s="59"/>
      <c r="AH1233" s="9"/>
      <c r="AI1233" s="9"/>
      <c r="AL1233" s="9"/>
      <c r="AM1233" s="9"/>
      <c r="AP1233" s="9"/>
      <c r="AQ1233" s="9"/>
      <c r="AT1233" s="9"/>
      <c r="AU1233" s="9"/>
      <c r="AX1233" s="9"/>
      <c r="AY1233" s="9"/>
    </row>
    <row r="1234" spans="17:51" ht="12.75">
      <c r="Q1234" s="28"/>
      <c r="Y1234" s="28"/>
      <c r="AE1234" s="59"/>
      <c r="AH1234" s="9"/>
      <c r="AI1234" s="9"/>
      <c r="AL1234" s="9"/>
      <c r="AM1234" s="9"/>
      <c r="AP1234" s="9"/>
      <c r="AQ1234" s="9"/>
      <c r="AT1234" s="9"/>
      <c r="AU1234" s="9"/>
      <c r="AX1234" s="9"/>
      <c r="AY1234" s="9"/>
    </row>
    <row r="1235" spans="17:51" ht="12.75">
      <c r="Q1235" s="28"/>
      <c r="Y1235" s="28"/>
      <c r="AE1235" s="59"/>
      <c r="AH1235" s="9"/>
      <c r="AI1235" s="9"/>
      <c r="AL1235" s="9"/>
      <c r="AM1235" s="9"/>
      <c r="AP1235" s="9"/>
      <c r="AQ1235" s="9"/>
      <c r="AT1235" s="9"/>
      <c r="AU1235" s="9"/>
      <c r="AX1235" s="9"/>
      <c r="AY1235" s="9"/>
    </row>
    <row r="1236" spans="17:51" ht="12.75">
      <c r="Q1236" s="28"/>
      <c r="Y1236" s="28"/>
      <c r="AE1236" s="59"/>
      <c r="AH1236" s="9"/>
      <c r="AI1236" s="9"/>
      <c r="AL1236" s="9"/>
      <c r="AM1236" s="9"/>
      <c r="AP1236" s="9"/>
      <c r="AQ1236" s="9"/>
      <c r="AT1236" s="9"/>
      <c r="AU1236" s="9"/>
      <c r="AX1236" s="9"/>
      <c r="AY1236" s="9"/>
    </row>
    <row r="1237" spans="17:51" ht="12.75">
      <c r="Q1237" s="28"/>
      <c r="Y1237" s="28"/>
      <c r="AE1237" s="59"/>
      <c r="AH1237" s="9"/>
      <c r="AI1237" s="9"/>
      <c r="AL1237" s="9"/>
      <c r="AM1237" s="9"/>
      <c r="AP1237" s="9"/>
      <c r="AQ1237" s="9"/>
      <c r="AT1237" s="9"/>
      <c r="AU1237" s="9"/>
      <c r="AX1237" s="9"/>
      <c r="AY1237" s="9"/>
    </row>
    <row r="1238" spans="17:51" ht="12.75">
      <c r="Q1238" s="28"/>
      <c r="Y1238" s="28"/>
      <c r="AE1238" s="59"/>
      <c r="AH1238" s="9"/>
      <c r="AI1238" s="9"/>
      <c r="AL1238" s="9"/>
      <c r="AM1238" s="9"/>
      <c r="AP1238" s="9"/>
      <c r="AQ1238" s="9"/>
      <c r="AT1238" s="9"/>
      <c r="AU1238" s="9"/>
      <c r="AX1238" s="9"/>
      <c r="AY1238" s="9"/>
    </row>
    <row r="1239" spans="17:51" ht="12.75">
      <c r="Q1239" s="28"/>
      <c r="Y1239" s="28"/>
      <c r="AE1239" s="59"/>
      <c r="AH1239" s="9"/>
      <c r="AI1239" s="9"/>
      <c r="AL1239" s="9"/>
      <c r="AM1239" s="9"/>
      <c r="AP1239" s="9"/>
      <c r="AQ1239" s="9"/>
      <c r="AT1239" s="9"/>
      <c r="AU1239" s="9"/>
      <c r="AX1239" s="9"/>
      <c r="AY1239" s="9"/>
    </row>
    <row r="1240" spans="17:51" ht="12.75">
      <c r="Q1240" s="28"/>
      <c r="Y1240" s="28"/>
      <c r="AE1240" s="59"/>
      <c r="AH1240" s="9"/>
      <c r="AI1240" s="9"/>
      <c r="AL1240" s="9"/>
      <c r="AM1240" s="9"/>
      <c r="AP1240" s="9"/>
      <c r="AQ1240" s="9"/>
      <c r="AT1240" s="9"/>
      <c r="AU1240" s="9"/>
      <c r="AX1240" s="9"/>
      <c r="AY1240" s="9"/>
    </row>
    <row r="1241" spans="17:51" ht="12.75">
      <c r="Q1241" s="28"/>
      <c r="Y1241" s="28"/>
      <c r="AE1241" s="59"/>
      <c r="AH1241" s="9"/>
      <c r="AI1241" s="9"/>
      <c r="AL1241" s="9"/>
      <c r="AM1241" s="9"/>
      <c r="AP1241" s="9"/>
      <c r="AQ1241" s="9"/>
      <c r="AT1241" s="9"/>
      <c r="AU1241" s="9"/>
      <c r="AX1241" s="9"/>
      <c r="AY1241" s="9"/>
    </row>
    <row r="1242" spans="17:51" ht="12.75">
      <c r="Q1242" s="28"/>
      <c r="Y1242" s="28"/>
      <c r="AE1242" s="59"/>
      <c r="AH1242" s="9"/>
      <c r="AI1242" s="9"/>
      <c r="AL1242" s="9"/>
      <c r="AM1242" s="9"/>
      <c r="AP1242" s="9"/>
      <c r="AQ1242" s="9"/>
      <c r="AT1242" s="9"/>
      <c r="AU1242" s="9"/>
      <c r="AX1242" s="9"/>
      <c r="AY1242" s="9"/>
    </row>
    <row r="1243" spans="17:51" ht="12.75">
      <c r="Q1243" s="28"/>
      <c r="Y1243" s="28"/>
      <c r="AE1243" s="59"/>
      <c r="AH1243" s="9"/>
      <c r="AI1243" s="9"/>
      <c r="AL1243" s="9"/>
      <c r="AM1243" s="9"/>
      <c r="AP1243" s="9"/>
      <c r="AQ1243" s="9"/>
      <c r="AT1243" s="9"/>
      <c r="AU1243" s="9"/>
      <c r="AX1243" s="9"/>
      <c r="AY1243" s="9"/>
    </row>
    <row r="1244" spans="17:51" ht="12.75">
      <c r="Q1244" s="28"/>
      <c r="Y1244" s="28"/>
      <c r="AE1244" s="59"/>
      <c r="AH1244" s="9"/>
      <c r="AI1244" s="9"/>
      <c r="AL1244" s="9"/>
      <c r="AM1244" s="9"/>
      <c r="AP1244" s="9"/>
      <c r="AQ1244" s="9"/>
      <c r="AT1244" s="9"/>
      <c r="AU1244" s="9"/>
      <c r="AX1244" s="9"/>
      <c r="AY1244" s="9"/>
    </row>
    <row r="1245" spans="17:51" ht="12.75">
      <c r="Q1245" s="28"/>
      <c r="Y1245" s="28"/>
      <c r="AE1245" s="59"/>
      <c r="AH1245" s="9"/>
      <c r="AI1245" s="9"/>
      <c r="AL1245" s="9"/>
      <c r="AM1245" s="9"/>
      <c r="AP1245" s="9"/>
      <c r="AQ1245" s="9"/>
      <c r="AT1245" s="9"/>
      <c r="AU1245" s="9"/>
      <c r="AX1245" s="9"/>
      <c r="AY1245" s="9"/>
    </row>
    <row r="1246" spans="17:51" ht="12.75">
      <c r="Q1246" s="28"/>
      <c r="Y1246" s="28"/>
      <c r="AE1246" s="59"/>
      <c r="AH1246" s="9"/>
      <c r="AI1246" s="9"/>
      <c r="AL1246" s="9"/>
      <c r="AM1246" s="9"/>
      <c r="AP1246" s="9"/>
      <c r="AQ1246" s="9"/>
      <c r="AT1246" s="9"/>
      <c r="AU1246" s="9"/>
      <c r="AX1246" s="9"/>
      <c r="AY1246" s="9"/>
    </row>
    <row r="1247" spans="17:51" ht="12.75">
      <c r="Q1247" s="28"/>
      <c r="Y1247" s="28"/>
      <c r="AE1247" s="59"/>
      <c r="AH1247" s="9"/>
      <c r="AI1247" s="9"/>
      <c r="AL1247" s="9"/>
      <c r="AM1247" s="9"/>
      <c r="AP1247" s="9"/>
      <c r="AQ1247" s="9"/>
      <c r="AT1247" s="9"/>
      <c r="AU1247" s="9"/>
      <c r="AX1247" s="9"/>
      <c r="AY1247" s="9"/>
    </row>
    <row r="1248" spans="17:51" ht="12.75">
      <c r="Q1248" s="28"/>
      <c r="Y1248" s="28"/>
      <c r="AE1248" s="59"/>
      <c r="AH1248" s="9"/>
      <c r="AI1248" s="9"/>
      <c r="AL1248" s="9"/>
      <c r="AM1248" s="9"/>
      <c r="AP1248" s="9"/>
      <c r="AQ1248" s="9"/>
      <c r="AT1248" s="9"/>
      <c r="AU1248" s="9"/>
      <c r="AX1248" s="9"/>
      <c r="AY1248" s="9"/>
    </row>
    <row r="1249" spans="17:51" ht="12.75">
      <c r="Q1249" s="28"/>
      <c r="Y1249" s="28"/>
      <c r="AE1249" s="59"/>
      <c r="AH1249" s="9"/>
      <c r="AI1249" s="9"/>
      <c r="AL1249" s="9"/>
      <c r="AM1249" s="9"/>
      <c r="AP1249" s="9"/>
      <c r="AQ1249" s="9"/>
      <c r="AT1249" s="9"/>
      <c r="AU1249" s="9"/>
      <c r="AX1249" s="9"/>
      <c r="AY1249" s="9"/>
    </row>
    <row r="1250" spans="17:51" ht="12.75">
      <c r="Q1250" s="28"/>
      <c r="Y1250" s="28"/>
      <c r="AE1250" s="59"/>
      <c r="AH1250" s="9"/>
      <c r="AI1250" s="9"/>
      <c r="AL1250" s="9"/>
      <c r="AM1250" s="9"/>
      <c r="AP1250" s="9"/>
      <c r="AQ1250" s="9"/>
      <c r="AT1250" s="9"/>
      <c r="AU1250" s="9"/>
      <c r="AX1250" s="9"/>
      <c r="AY1250" s="9"/>
    </row>
    <row r="1251" spans="17:51" ht="12.75">
      <c r="Q1251" s="28"/>
      <c r="Y1251" s="28"/>
      <c r="AE1251" s="59"/>
      <c r="AH1251" s="9"/>
      <c r="AI1251" s="9"/>
      <c r="AL1251" s="9"/>
      <c r="AM1251" s="9"/>
      <c r="AP1251" s="9"/>
      <c r="AQ1251" s="9"/>
      <c r="AT1251" s="9"/>
      <c r="AU1251" s="9"/>
      <c r="AX1251" s="9"/>
      <c r="AY1251" s="9"/>
    </row>
    <row r="1252" spans="17:51" ht="12.75">
      <c r="Q1252" s="28"/>
      <c r="Y1252" s="28"/>
      <c r="AE1252" s="59"/>
      <c r="AH1252" s="9"/>
      <c r="AI1252" s="9"/>
      <c r="AL1252" s="9"/>
      <c r="AM1252" s="9"/>
      <c r="AP1252" s="9"/>
      <c r="AQ1252" s="9"/>
      <c r="AT1252" s="9"/>
      <c r="AU1252" s="9"/>
      <c r="AX1252" s="9"/>
      <c r="AY1252" s="9"/>
    </row>
    <row r="1253" spans="17:51" ht="12.75">
      <c r="Q1253" s="28"/>
      <c r="Y1253" s="28"/>
      <c r="AE1253" s="59"/>
      <c r="AH1253" s="9"/>
      <c r="AI1253" s="9"/>
      <c r="AL1253" s="9"/>
      <c r="AM1253" s="9"/>
      <c r="AP1253" s="9"/>
      <c r="AQ1253" s="9"/>
      <c r="AT1253" s="9"/>
      <c r="AU1253" s="9"/>
      <c r="AX1253" s="9"/>
      <c r="AY1253" s="9"/>
    </row>
    <row r="1254" spans="17:51" ht="12.75">
      <c r="Q1254" s="28"/>
      <c r="Y1254" s="28"/>
      <c r="AE1254" s="59"/>
      <c r="AH1254" s="9"/>
      <c r="AI1254" s="9"/>
      <c r="AL1254" s="9"/>
      <c r="AM1254" s="9"/>
      <c r="AP1254" s="9"/>
      <c r="AQ1254" s="9"/>
      <c r="AT1254" s="9"/>
      <c r="AU1254" s="9"/>
      <c r="AX1254" s="9"/>
      <c r="AY1254" s="9"/>
    </row>
    <row r="1255" spans="17:51" ht="12.75">
      <c r="Q1255" s="28"/>
      <c r="Y1255" s="28"/>
      <c r="AE1255" s="59"/>
      <c r="AH1255" s="9"/>
      <c r="AI1255" s="9"/>
      <c r="AL1255" s="9"/>
      <c r="AM1255" s="9"/>
      <c r="AP1255" s="9"/>
      <c r="AQ1255" s="9"/>
      <c r="AT1255" s="9"/>
      <c r="AU1255" s="9"/>
      <c r="AX1255" s="9"/>
      <c r="AY1255" s="9"/>
    </row>
    <row r="1256" spans="17:51" ht="12.75">
      <c r="Q1256" s="28"/>
      <c r="Y1256" s="28"/>
      <c r="AE1256" s="59"/>
      <c r="AH1256" s="9"/>
      <c r="AI1256" s="9"/>
      <c r="AL1256" s="9"/>
      <c r="AM1256" s="9"/>
      <c r="AP1256" s="9"/>
      <c r="AQ1256" s="9"/>
      <c r="AT1256" s="9"/>
      <c r="AU1256" s="9"/>
      <c r="AX1256" s="9"/>
      <c r="AY1256" s="9"/>
    </row>
    <row r="1257" spans="17:51" ht="12.75">
      <c r="Q1257" s="28"/>
      <c r="Y1257" s="28"/>
      <c r="AE1257" s="59"/>
      <c r="AH1257" s="9"/>
      <c r="AI1257" s="9"/>
      <c r="AL1257" s="9"/>
      <c r="AM1257" s="9"/>
      <c r="AP1257" s="9"/>
      <c r="AQ1257" s="9"/>
      <c r="AT1257" s="9"/>
      <c r="AU1257" s="9"/>
      <c r="AX1257" s="9"/>
      <c r="AY1257" s="9"/>
    </row>
    <row r="1258" spans="17:51" ht="12.75">
      <c r="Q1258" s="28"/>
      <c r="Y1258" s="28"/>
      <c r="AE1258" s="59"/>
      <c r="AH1258" s="9"/>
      <c r="AI1258" s="9"/>
      <c r="AL1258" s="9"/>
      <c r="AM1258" s="9"/>
      <c r="AP1258" s="9"/>
      <c r="AQ1258" s="9"/>
      <c r="AT1258" s="9"/>
      <c r="AU1258" s="9"/>
      <c r="AX1258" s="9"/>
      <c r="AY1258" s="9"/>
    </row>
    <row r="1259" spans="17:51" ht="12.75">
      <c r="Q1259" s="28"/>
      <c r="Y1259" s="28"/>
      <c r="AE1259" s="59"/>
      <c r="AH1259" s="9"/>
      <c r="AI1259" s="9"/>
      <c r="AL1259" s="9"/>
      <c r="AM1259" s="9"/>
      <c r="AP1259" s="9"/>
      <c r="AQ1259" s="9"/>
      <c r="AT1259" s="9"/>
      <c r="AU1259" s="9"/>
      <c r="AX1259" s="9"/>
      <c r="AY1259" s="9"/>
    </row>
    <row r="1260" spans="17:51" ht="12.75">
      <c r="Q1260" s="28"/>
      <c r="Y1260" s="28"/>
      <c r="AE1260" s="59"/>
      <c r="AH1260" s="9"/>
      <c r="AI1260" s="9"/>
      <c r="AL1260" s="9"/>
      <c r="AM1260" s="9"/>
      <c r="AP1260" s="9"/>
      <c r="AQ1260" s="9"/>
      <c r="AT1260" s="9"/>
      <c r="AU1260" s="9"/>
      <c r="AX1260" s="9"/>
      <c r="AY1260" s="9"/>
    </row>
    <row r="1261" spans="17:51" ht="12.75">
      <c r="Q1261" s="28"/>
      <c r="Y1261" s="28"/>
      <c r="AE1261" s="59"/>
      <c r="AH1261" s="9"/>
      <c r="AI1261" s="9"/>
      <c r="AL1261" s="9"/>
      <c r="AM1261" s="9"/>
      <c r="AP1261" s="9"/>
      <c r="AQ1261" s="9"/>
      <c r="AT1261" s="9"/>
      <c r="AU1261" s="9"/>
      <c r="AX1261" s="9"/>
      <c r="AY1261" s="9"/>
    </row>
    <row r="1262" spans="17:51" ht="12.75">
      <c r="Q1262" s="28"/>
      <c r="Y1262" s="28"/>
      <c r="AE1262" s="59"/>
      <c r="AH1262" s="9"/>
      <c r="AI1262" s="9"/>
      <c r="AL1262" s="9"/>
      <c r="AM1262" s="9"/>
      <c r="AP1262" s="9"/>
      <c r="AQ1262" s="9"/>
      <c r="AT1262" s="9"/>
      <c r="AU1262" s="9"/>
      <c r="AX1262" s="9"/>
      <c r="AY1262" s="9"/>
    </row>
    <row r="1263" spans="17:51" ht="12.75">
      <c r="Q1263" s="28"/>
      <c r="Y1263" s="28"/>
      <c r="AE1263" s="59"/>
      <c r="AH1263" s="9"/>
      <c r="AI1263" s="9"/>
      <c r="AL1263" s="9"/>
      <c r="AM1263" s="9"/>
      <c r="AP1263" s="9"/>
      <c r="AQ1263" s="9"/>
      <c r="AT1263" s="9"/>
      <c r="AU1263" s="9"/>
      <c r="AX1263" s="9"/>
      <c r="AY1263" s="9"/>
    </row>
    <row r="1264" spans="17:51" ht="12.75">
      <c r="Q1264" s="28"/>
      <c r="Y1264" s="28"/>
      <c r="AE1264" s="59"/>
      <c r="AH1264" s="9"/>
      <c r="AI1264" s="9"/>
      <c r="AL1264" s="9"/>
      <c r="AM1264" s="9"/>
      <c r="AP1264" s="9"/>
      <c r="AQ1264" s="9"/>
      <c r="AT1264" s="9"/>
      <c r="AU1264" s="9"/>
      <c r="AX1264" s="9"/>
      <c r="AY1264" s="9"/>
    </row>
    <row r="1265" spans="17:51" ht="12.75">
      <c r="Q1265" s="28"/>
      <c r="Y1265" s="28"/>
      <c r="AE1265" s="59"/>
      <c r="AH1265" s="9"/>
      <c r="AI1265" s="9"/>
      <c r="AL1265" s="9"/>
      <c r="AM1265" s="9"/>
      <c r="AP1265" s="9"/>
      <c r="AQ1265" s="9"/>
      <c r="AT1265" s="9"/>
      <c r="AU1265" s="9"/>
      <c r="AX1265" s="9"/>
      <c r="AY1265" s="9"/>
    </row>
    <row r="1266" spans="17:51" ht="12.75">
      <c r="Q1266" s="28"/>
      <c r="Y1266" s="28"/>
      <c r="AE1266" s="59"/>
      <c r="AH1266" s="9"/>
      <c r="AI1266" s="9"/>
      <c r="AL1266" s="9"/>
      <c r="AM1266" s="9"/>
      <c r="AP1266" s="9"/>
      <c r="AQ1266" s="9"/>
      <c r="AT1266" s="9"/>
      <c r="AU1266" s="9"/>
      <c r="AX1266" s="9"/>
      <c r="AY1266" s="9"/>
    </row>
    <row r="1267" spans="17:51" ht="12.75">
      <c r="Q1267" s="28"/>
      <c r="Y1267" s="28"/>
      <c r="AE1267" s="59"/>
      <c r="AH1267" s="9"/>
      <c r="AI1267" s="9"/>
      <c r="AL1267" s="9"/>
      <c r="AM1267" s="9"/>
      <c r="AP1267" s="9"/>
      <c r="AQ1267" s="9"/>
      <c r="AT1267" s="9"/>
      <c r="AU1267" s="9"/>
      <c r="AX1267" s="9"/>
      <c r="AY1267" s="9"/>
    </row>
    <row r="1268" spans="17:51" ht="12.75">
      <c r="Q1268" s="28"/>
      <c r="Y1268" s="28"/>
      <c r="AE1268" s="59"/>
      <c r="AH1268" s="9"/>
      <c r="AI1268" s="9"/>
      <c r="AL1268" s="9"/>
      <c r="AM1268" s="9"/>
      <c r="AP1268" s="9"/>
      <c r="AQ1268" s="9"/>
      <c r="AT1268" s="9"/>
      <c r="AU1268" s="9"/>
      <c r="AX1268" s="9"/>
      <c r="AY1268" s="9"/>
    </row>
    <row r="1269" spans="17:51" ht="12.75">
      <c r="Q1269" s="28"/>
      <c r="Y1269" s="28"/>
      <c r="AE1269" s="59"/>
      <c r="AH1269" s="9"/>
      <c r="AI1269" s="9"/>
      <c r="AL1269" s="9"/>
      <c r="AM1269" s="9"/>
      <c r="AP1269" s="9"/>
      <c r="AQ1269" s="9"/>
      <c r="AT1269" s="9"/>
      <c r="AU1269" s="9"/>
      <c r="AX1269" s="9"/>
      <c r="AY1269" s="9"/>
    </row>
    <row r="1270" spans="17:51" ht="12.75">
      <c r="Q1270" s="28"/>
      <c r="Y1270" s="28"/>
      <c r="AE1270" s="59"/>
      <c r="AH1270" s="9"/>
      <c r="AI1270" s="9"/>
      <c r="AL1270" s="9"/>
      <c r="AM1270" s="9"/>
      <c r="AP1270" s="9"/>
      <c r="AQ1270" s="9"/>
      <c r="AT1270" s="9"/>
      <c r="AU1270" s="9"/>
      <c r="AX1270" s="9"/>
      <c r="AY1270" s="9"/>
    </row>
    <row r="1271" spans="17:51" ht="12.75">
      <c r="Q1271" s="28"/>
      <c r="Y1271" s="28"/>
      <c r="AE1271" s="59"/>
      <c r="AH1271" s="9"/>
      <c r="AI1271" s="9"/>
      <c r="AL1271" s="9"/>
      <c r="AM1271" s="9"/>
      <c r="AP1271" s="9"/>
      <c r="AQ1271" s="9"/>
      <c r="AT1271" s="9"/>
      <c r="AU1271" s="9"/>
      <c r="AX1271" s="9"/>
      <c r="AY1271" s="9"/>
    </row>
    <row r="1272" spans="17:51" ht="12.75">
      <c r="Q1272" s="28"/>
      <c r="Y1272" s="28"/>
      <c r="AE1272" s="59"/>
      <c r="AH1272" s="9"/>
      <c r="AI1272" s="9"/>
      <c r="AL1272" s="9"/>
      <c r="AM1272" s="9"/>
      <c r="AP1272" s="9"/>
      <c r="AQ1272" s="9"/>
      <c r="AT1272" s="9"/>
      <c r="AU1272" s="9"/>
      <c r="AX1272" s="9"/>
      <c r="AY1272" s="9"/>
    </row>
    <row r="1273" spans="17:51" ht="12.75">
      <c r="Q1273" s="28"/>
      <c r="Y1273" s="28"/>
      <c r="AE1273" s="59"/>
      <c r="AH1273" s="9"/>
      <c r="AI1273" s="9"/>
      <c r="AL1273" s="9"/>
      <c r="AM1273" s="9"/>
      <c r="AP1273" s="9"/>
      <c r="AQ1273" s="9"/>
      <c r="AT1273" s="9"/>
      <c r="AU1273" s="9"/>
      <c r="AX1273" s="9"/>
      <c r="AY1273" s="9"/>
    </row>
    <row r="1274" spans="17:51" ht="12.75">
      <c r="Q1274" s="28"/>
      <c r="Y1274" s="28"/>
      <c r="AE1274" s="59"/>
      <c r="AH1274" s="9"/>
      <c r="AI1274" s="9"/>
      <c r="AL1274" s="9"/>
      <c r="AM1274" s="9"/>
      <c r="AP1274" s="9"/>
      <c r="AQ1274" s="9"/>
      <c r="AT1274" s="9"/>
      <c r="AU1274" s="9"/>
      <c r="AX1274" s="9"/>
      <c r="AY1274" s="9"/>
    </row>
    <row r="1275" spans="17:51" ht="12.75">
      <c r="Q1275" s="28"/>
      <c r="Y1275" s="28"/>
      <c r="AE1275" s="59"/>
      <c r="AH1275" s="9"/>
      <c r="AI1275" s="9"/>
      <c r="AL1275" s="9"/>
      <c r="AM1275" s="9"/>
      <c r="AP1275" s="9"/>
      <c r="AQ1275" s="9"/>
      <c r="AT1275" s="9"/>
      <c r="AU1275" s="9"/>
      <c r="AX1275" s="9"/>
      <c r="AY1275" s="9"/>
    </row>
    <row r="1276" spans="17:51" ht="12.75">
      <c r="Q1276" s="28"/>
      <c r="Y1276" s="28"/>
      <c r="AE1276" s="59"/>
      <c r="AH1276" s="9"/>
      <c r="AI1276" s="9"/>
      <c r="AL1276" s="9"/>
      <c r="AM1276" s="9"/>
      <c r="AP1276" s="9"/>
      <c r="AQ1276" s="9"/>
      <c r="AT1276" s="9"/>
      <c r="AU1276" s="9"/>
      <c r="AX1276" s="9"/>
      <c r="AY1276" s="9"/>
    </row>
    <row r="1277" spans="17:51" ht="12.75">
      <c r="Q1277" s="28"/>
      <c r="Y1277" s="28"/>
      <c r="AE1277" s="59"/>
      <c r="AH1277" s="9"/>
      <c r="AI1277" s="9"/>
      <c r="AL1277" s="9"/>
      <c r="AM1277" s="9"/>
      <c r="AP1277" s="9"/>
      <c r="AQ1277" s="9"/>
      <c r="AT1277" s="9"/>
      <c r="AU1277" s="9"/>
      <c r="AX1277" s="9"/>
      <c r="AY1277" s="9"/>
    </row>
    <row r="1278" spans="17:51" ht="12.75">
      <c r="Q1278" s="28"/>
      <c r="Y1278" s="28"/>
      <c r="AE1278" s="59"/>
      <c r="AH1278" s="9"/>
      <c r="AI1278" s="9"/>
      <c r="AL1278" s="9"/>
      <c r="AM1278" s="9"/>
      <c r="AP1278" s="9"/>
      <c r="AQ1278" s="9"/>
      <c r="AT1278" s="9"/>
      <c r="AU1278" s="9"/>
      <c r="AX1278" s="9"/>
      <c r="AY1278" s="9"/>
    </row>
    <row r="1279" spans="17:51" ht="12.75">
      <c r="Q1279" s="28"/>
      <c r="Y1279" s="28"/>
      <c r="AE1279" s="59"/>
      <c r="AH1279" s="9"/>
      <c r="AI1279" s="9"/>
      <c r="AL1279" s="9"/>
      <c r="AM1279" s="9"/>
      <c r="AP1279" s="9"/>
      <c r="AQ1279" s="9"/>
      <c r="AT1279" s="9"/>
      <c r="AU1279" s="9"/>
      <c r="AX1279" s="9"/>
      <c r="AY1279" s="9"/>
    </row>
    <row r="1280" spans="17:51" ht="12.75">
      <c r="Q1280" s="28"/>
      <c r="Y1280" s="28"/>
      <c r="AE1280" s="59"/>
      <c r="AH1280" s="9"/>
      <c r="AI1280" s="9"/>
      <c r="AL1280" s="9"/>
      <c r="AM1280" s="9"/>
      <c r="AP1280" s="9"/>
      <c r="AQ1280" s="9"/>
      <c r="AT1280" s="9"/>
      <c r="AU1280" s="9"/>
      <c r="AX1280" s="9"/>
      <c r="AY1280" s="9"/>
    </row>
    <row r="1281" spans="17:51" ht="12.75">
      <c r="Q1281" s="28"/>
      <c r="Y1281" s="28"/>
      <c r="AE1281" s="59"/>
      <c r="AH1281" s="9"/>
      <c r="AI1281" s="9"/>
      <c r="AL1281" s="9"/>
      <c r="AM1281" s="9"/>
      <c r="AP1281" s="9"/>
      <c r="AQ1281" s="9"/>
      <c r="AT1281" s="9"/>
      <c r="AU1281" s="9"/>
      <c r="AX1281" s="9"/>
      <c r="AY1281" s="9"/>
    </row>
    <row r="1282" spans="17:51" ht="12.75">
      <c r="Q1282" s="28"/>
      <c r="Y1282" s="28"/>
      <c r="AE1282" s="59"/>
      <c r="AH1282" s="9"/>
      <c r="AI1282" s="9"/>
      <c r="AL1282" s="9"/>
      <c r="AM1282" s="9"/>
      <c r="AP1282" s="9"/>
      <c r="AQ1282" s="9"/>
      <c r="AT1282" s="9"/>
      <c r="AU1282" s="9"/>
      <c r="AX1282" s="9"/>
      <c r="AY1282" s="9"/>
    </row>
    <row r="1283" spans="17:51" ht="12.75">
      <c r="Q1283" s="28"/>
      <c r="Y1283" s="28"/>
      <c r="AE1283" s="59"/>
      <c r="AH1283" s="9"/>
      <c r="AI1283" s="9"/>
      <c r="AL1283" s="9"/>
      <c r="AM1283" s="9"/>
      <c r="AP1283" s="9"/>
      <c r="AQ1283" s="9"/>
      <c r="AT1283" s="9"/>
      <c r="AU1283" s="9"/>
      <c r="AX1283" s="9"/>
      <c r="AY1283" s="9"/>
    </row>
    <row r="1284" spans="17:51" ht="12.75">
      <c r="Q1284" s="28"/>
      <c r="Y1284" s="28"/>
      <c r="AE1284" s="59"/>
      <c r="AH1284" s="9"/>
      <c r="AI1284" s="9"/>
      <c r="AL1284" s="9"/>
      <c r="AM1284" s="9"/>
      <c r="AP1284" s="9"/>
      <c r="AQ1284" s="9"/>
      <c r="AT1284" s="9"/>
      <c r="AU1284" s="9"/>
      <c r="AX1284" s="9"/>
      <c r="AY1284" s="9"/>
    </row>
    <row r="1285" spans="17:51" ht="12.75">
      <c r="Q1285" s="28"/>
      <c r="Y1285" s="28"/>
      <c r="AE1285" s="59"/>
      <c r="AH1285" s="9"/>
      <c r="AI1285" s="9"/>
      <c r="AL1285" s="9"/>
      <c r="AM1285" s="9"/>
      <c r="AP1285" s="9"/>
      <c r="AQ1285" s="9"/>
      <c r="AT1285" s="9"/>
      <c r="AU1285" s="9"/>
      <c r="AX1285" s="9"/>
      <c r="AY1285" s="9"/>
    </row>
    <row r="1286" spans="17:51" ht="12.75">
      <c r="Q1286" s="28"/>
      <c r="Y1286" s="28"/>
      <c r="AE1286" s="59"/>
      <c r="AH1286" s="9"/>
      <c r="AI1286" s="9"/>
      <c r="AL1286" s="9"/>
      <c r="AM1286" s="9"/>
      <c r="AP1286" s="9"/>
      <c r="AQ1286" s="9"/>
      <c r="AT1286" s="9"/>
      <c r="AU1286" s="9"/>
      <c r="AX1286" s="9"/>
      <c r="AY1286" s="9"/>
    </row>
    <row r="1287" spans="17:51" ht="12.75">
      <c r="Q1287" s="28"/>
      <c r="Y1287" s="28"/>
      <c r="AE1287" s="59"/>
      <c r="AH1287" s="9"/>
      <c r="AI1287" s="9"/>
      <c r="AL1287" s="9"/>
      <c r="AM1287" s="9"/>
      <c r="AP1287" s="9"/>
      <c r="AQ1287" s="9"/>
      <c r="AT1287" s="9"/>
      <c r="AU1287" s="9"/>
      <c r="AX1287" s="9"/>
      <c r="AY1287" s="9"/>
    </row>
    <row r="1288" spans="17:51" ht="12.75">
      <c r="Q1288" s="28"/>
      <c r="Y1288" s="28"/>
      <c r="AE1288" s="59"/>
      <c r="AH1288" s="9"/>
      <c r="AI1288" s="9"/>
      <c r="AL1288" s="9"/>
      <c r="AM1288" s="9"/>
      <c r="AP1288" s="9"/>
      <c r="AQ1288" s="9"/>
      <c r="AT1288" s="9"/>
      <c r="AU1288" s="9"/>
      <c r="AX1288" s="9"/>
      <c r="AY1288" s="9"/>
    </row>
    <row r="1289" spans="17:51" ht="12.75">
      <c r="Q1289" s="28"/>
      <c r="Y1289" s="28"/>
      <c r="AE1289" s="59"/>
      <c r="AH1289" s="9"/>
      <c r="AI1289" s="9"/>
      <c r="AL1289" s="9"/>
      <c r="AM1289" s="9"/>
      <c r="AP1289" s="9"/>
      <c r="AQ1289" s="9"/>
      <c r="AT1289" s="9"/>
      <c r="AU1289" s="9"/>
      <c r="AX1289" s="9"/>
      <c r="AY1289" s="9"/>
    </row>
    <row r="1290" spans="17:51" ht="12.75">
      <c r="Q1290" s="28"/>
      <c r="Y1290" s="28"/>
      <c r="AE1290" s="59"/>
      <c r="AH1290" s="9"/>
      <c r="AI1290" s="9"/>
      <c r="AL1290" s="9"/>
      <c r="AM1290" s="9"/>
      <c r="AP1290" s="9"/>
      <c r="AQ1290" s="9"/>
      <c r="AT1290" s="9"/>
      <c r="AU1290" s="9"/>
      <c r="AX1290" s="9"/>
      <c r="AY1290" s="9"/>
    </row>
    <row r="1291" spans="17:51" ht="12.75">
      <c r="Q1291" s="28"/>
      <c r="Y1291" s="28"/>
      <c r="AE1291" s="59"/>
      <c r="AH1291" s="9"/>
      <c r="AI1291" s="9"/>
      <c r="AL1291" s="9"/>
      <c r="AM1291" s="9"/>
      <c r="AP1291" s="9"/>
      <c r="AQ1291" s="9"/>
      <c r="AT1291" s="9"/>
      <c r="AU1291" s="9"/>
      <c r="AX1291" s="9"/>
      <c r="AY1291" s="9"/>
    </row>
    <row r="1292" spans="17:51" ht="12.75">
      <c r="Q1292" s="28"/>
      <c r="Y1292" s="28"/>
      <c r="AE1292" s="59"/>
      <c r="AH1292" s="9"/>
      <c r="AI1292" s="9"/>
      <c r="AL1292" s="9"/>
      <c r="AM1292" s="9"/>
      <c r="AP1292" s="9"/>
      <c r="AQ1292" s="9"/>
      <c r="AT1292" s="9"/>
      <c r="AU1292" s="9"/>
      <c r="AX1292" s="9"/>
      <c r="AY1292" s="9"/>
    </row>
    <row r="1293" spans="17:51" ht="12.75">
      <c r="Q1293" s="28"/>
      <c r="Y1293" s="28"/>
      <c r="AE1293" s="59"/>
      <c r="AH1293" s="9"/>
      <c r="AI1293" s="9"/>
      <c r="AL1293" s="9"/>
      <c r="AM1293" s="9"/>
      <c r="AP1293" s="9"/>
      <c r="AQ1293" s="9"/>
      <c r="AT1293" s="9"/>
      <c r="AU1293" s="9"/>
      <c r="AX1293" s="9"/>
      <c r="AY1293" s="9"/>
    </row>
    <row r="1294" spans="17:51" ht="12.75">
      <c r="Q1294" s="28"/>
      <c r="Y1294" s="28"/>
      <c r="AE1294" s="59"/>
      <c r="AH1294" s="9"/>
      <c r="AI1294" s="9"/>
      <c r="AL1294" s="9"/>
      <c r="AM1294" s="9"/>
      <c r="AP1294" s="9"/>
      <c r="AQ1294" s="9"/>
      <c r="AT1294" s="9"/>
      <c r="AU1294" s="9"/>
      <c r="AX1294" s="9"/>
      <c r="AY1294" s="9"/>
    </row>
    <row r="1295" spans="17:51" ht="12.75">
      <c r="Q1295" s="28"/>
      <c r="Y1295" s="28"/>
      <c r="AE1295" s="59"/>
      <c r="AH1295" s="9"/>
      <c r="AI1295" s="9"/>
      <c r="AL1295" s="9"/>
      <c r="AM1295" s="9"/>
      <c r="AP1295" s="9"/>
      <c r="AQ1295" s="9"/>
      <c r="AT1295" s="9"/>
      <c r="AU1295" s="9"/>
      <c r="AX1295" s="9"/>
      <c r="AY1295" s="9"/>
    </row>
    <row r="1296" spans="17:51" ht="12.75">
      <c r="Q1296" s="28"/>
      <c r="Y1296" s="28"/>
      <c r="AE1296" s="59"/>
      <c r="AH1296" s="9"/>
      <c r="AI1296" s="9"/>
      <c r="AL1296" s="9"/>
      <c r="AM1296" s="9"/>
      <c r="AP1296" s="9"/>
      <c r="AQ1296" s="9"/>
      <c r="AT1296" s="9"/>
      <c r="AU1296" s="9"/>
      <c r="AX1296" s="9"/>
      <c r="AY1296" s="9"/>
    </row>
    <row r="1297" spans="17:51" ht="12.75">
      <c r="Q1297" s="28"/>
      <c r="Y1297" s="28"/>
      <c r="AE1297" s="59"/>
      <c r="AH1297" s="9"/>
      <c r="AI1297" s="9"/>
      <c r="AL1297" s="9"/>
      <c r="AM1297" s="9"/>
      <c r="AP1297" s="9"/>
      <c r="AQ1297" s="9"/>
      <c r="AT1297" s="9"/>
      <c r="AU1297" s="9"/>
      <c r="AX1297" s="9"/>
      <c r="AY1297" s="9"/>
    </row>
    <row r="1298" spans="17:51" ht="12.75">
      <c r="Q1298" s="28"/>
      <c r="Y1298" s="28"/>
      <c r="AE1298" s="59"/>
      <c r="AH1298" s="9"/>
      <c r="AI1298" s="9"/>
      <c r="AL1298" s="9"/>
      <c r="AM1298" s="9"/>
      <c r="AP1298" s="9"/>
      <c r="AQ1298" s="9"/>
      <c r="AT1298" s="9"/>
      <c r="AU1298" s="9"/>
      <c r="AX1298" s="9"/>
      <c r="AY1298" s="9"/>
    </row>
    <row r="1299" spans="17:51" ht="12.75">
      <c r="Q1299" s="28"/>
      <c r="Y1299" s="28"/>
      <c r="AE1299" s="59"/>
      <c r="AH1299" s="9"/>
      <c r="AI1299" s="9"/>
      <c r="AL1299" s="9"/>
      <c r="AM1299" s="9"/>
      <c r="AP1299" s="9"/>
      <c r="AQ1299" s="9"/>
      <c r="AT1299" s="9"/>
      <c r="AU1299" s="9"/>
      <c r="AX1299" s="9"/>
      <c r="AY1299" s="9"/>
    </row>
    <row r="1300" spans="17:51" ht="12.75">
      <c r="Q1300" s="28"/>
      <c r="Y1300" s="28"/>
      <c r="AE1300" s="59"/>
      <c r="AH1300" s="9"/>
      <c r="AI1300" s="9"/>
      <c r="AL1300" s="9"/>
      <c r="AM1300" s="9"/>
      <c r="AP1300" s="9"/>
      <c r="AQ1300" s="9"/>
      <c r="AT1300" s="9"/>
      <c r="AU1300" s="9"/>
      <c r="AX1300" s="9"/>
      <c r="AY1300" s="9"/>
    </row>
    <row r="1301" spans="17:51" ht="12.75">
      <c r="Q1301" s="28"/>
      <c r="Y1301" s="28"/>
      <c r="AE1301" s="59"/>
      <c r="AH1301" s="9"/>
      <c r="AI1301" s="9"/>
      <c r="AL1301" s="9"/>
      <c r="AM1301" s="9"/>
      <c r="AP1301" s="9"/>
      <c r="AQ1301" s="9"/>
      <c r="AT1301" s="9"/>
      <c r="AU1301" s="9"/>
      <c r="AX1301" s="9"/>
      <c r="AY1301" s="9"/>
    </row>
    <row r="1302" spans="17:51" ht="12.75">
      <c r="Q1302" s="28"/>
      <c r="Y1302" s="28"/>
      <c r="AE1302" s="59"/>
      <c r="AH1302" s="9"/>
      <c r="AI1302" s="9"/>
      <c r="AL1302" s="9"/>
      <c r="AM1302" s="9"/>
      <c r="AP1302" s="9"/>
      <c r="AQ1302" s="9"/>
      <c r="AT1302" s="9"/>
      <c r="AU1302" s="9"/>
      <c r="AX1302" s="9"/>
      <c r="AY1302" s="9"/>
    </row>
    <row r="1303" spans="17:51" ht="12.75">
      <c r="Q1303" s="28"/>
      <c r="Y1303" s="28"/>
      <c r="AE1303" s="59"/>
      <c r="AH1303" s="9"/>
      <c r="AI1303" s="9"/>
      <c r="AL1303" s="9"/>
      <c r="AM1303" s="9"/>
      <c r="AP1303" s="9"/>
      <c r="AQ1303" s="9"/>
      <c r="AT1303" s="9"/>
      <c r="AU1303" s="9"/>
      <c r="AX1303" s="9"/>
      <c r="AY1303" s="9"/>
    </row>
    <row r="1304" spans="17:51" ht="12.75">
      <c r="Q1304" s="28"/>
      <c r="Y1304" s="28"/>
      <c r="AE1304" s="59"/>
      <c r="AH1304" s="9"/>
      <c r="AI1304" s="9"/>
      <c r="AL1304" s="9"/>
      <c r="AM1304" s="9"/>
      <c r="AP1304" s="9"/>
      <c r="AQ1304" s="9"/>
      <c r="AT1304" s="9"/>
      <c r="AU1304" s="9"/>
      <c r="AX1304" s="9"/>
      <c r="AY1304" s="9"/>
    </row>
    <row r="1305" spans="17:51" ht="12.75">
      <c r="Q1305" s="28"/>
      <c r="Y1305" s="28"/>
      <c r="AE1305" s="59"/>
      <c r="AH1305" s="9"/>
      <c r="AI1305" s="9"/>
      <c r="AL1305" s="9"/>
      <c r="AM1305" s="9"/>
      <c r="AP1305" s="9"/>
      <c r="AQ1305" s="9"/>
      <c r="AT1305" s="9"/>
      <c r="AU1305" s="9"/>
      <c r="AX1305" s="9"/>
      <c r="AY1305" s="9"/>
    </row>
    <row r="1306" spans="17:51" ht="12.75">
      <c r="Q1306" s="28"/>
      <c r="Y1306" s="28"/>
      <c r="AE1306" s="59"/>
      <c r="AH1306" s="9"/>
      <c r="AI1306" s="9"/>
      <c r="AL1306" s="9"/>
      <c r="AM1306" s="9"/>
      <c r="AP1306" s="9"/>
      <c r="AQ1306" s="9"/>
      <c r="AT1306" s="9"/>
      <c r="AU1306" s="9"/>
      <c r="AX1306" s="9"/>
      <c r="AY1306" s="9"/>
    </row>
    <row r="1307" spans="17:51" ht="12.75">
      <c r="Q1307" s="28"/>
      <c r="Y1307" s="28"/>
      <c r="AE1307" s="59"/>
      <c r="AH1307" s="9"/>
      <c r="AI1307" s="9"/>
      <c r="AL1307" s="9"/>
      <c r="AM1307" s="9"/>
      <c r="AP1307" s="9"/>
      <c r="AQ1307" s="9"/>
      <c r="AT1307" s="9"/>
      <c r="AU1307" s="9"/>
      <c r="AX1307" s="9"/>
      <c r="AY1307" s="9"/>
    </row>
    <row r="1308" spans="17:51" ht="12.75">
      <c r="Q1308" s="28"/>
      <c r="Y1308" s="28"/>
      <c r="AE1308" s="59"/>
      <c r="AH1308" s="9"/>
      <c r="AI1308" s="9"/>
      <c r="AL1308" s="9"/>
      <c r="AM1308" s="9"/>
      <c r="AP1308" s="9"/>
      <c r="AQ1308" s="9"/>
      <c r="AT1308" s="9"/>
      <c r="AU1308" s="9"/>
      <c r="AX1308" s="9"/>
      <c r="AY1308" s="9"/>
    </row>
    <row r="1309" spans="17:51" ht="12.75">
      <c r="Q1309" s="28"/>
      <c r="Y1309" s="28"/>
      <c r="AE1309" s="59"/>
      <c r="AH1309" s="9"/>
      <c r="AI1309" s="9"/>
      <c r="AL1309" s="9"/>
      <c r="AM1309" s="9"/>
      <c r="AP1309" s="9"/>
      <c r="AQ1309" s="9"/>
      <c r="AT1309" s="9"/>
      <c r="AU1309" s="9"/>
      <c r="AX1309" s="9"/>
      <c r="AY1309" s="9"/>
    </row>
    <row r="1310" spans="17:51" ht="12.75">
      <c r="Q1310" s="28"/>
      <c r="Y1310" s="28"/>
      <c r="AE1310" s="59"/>
      <c r="AH1310" s="9"/>
      <c r="AI1310" s="9"/>
      <c r="AL1310" s="9"/>
      <c r="AM1310" s="9"/>
      <c r="AP1310" s="9"/>
      <c r="AQ1310" s="9"/>
      <c r="AT1310" s="9"/>
      <c r="AU1310" s="9"/>
      <c r="AX1310" s="9"/>
      <c r="AY1310" s="9"/>
    </row>
    <row r="1311" spans="17:51" ht="12.75">
      <c r="Q1311" s="28"/>
      <c r="Y1311" s="28"/>
      <c r="AE1311" s="59"/>
      <c r="AH1311" s="9"/>
      <c r="AI1311" s="9"/>
      <c r="AL1311" s="9"/>
      <c r="AM1311" s="9"/>
      <c r="AP1311" s="9"/>
      <c r="AQ1311" s="9"/>
      <c r="AT1311" s="9"/>
      <c r="AU1311" s="9"/>
      <c r="AX1311" s="9"/>
      <c r="AY1311" s="9"/>
    </row>
    <row r="1312" spans="17:51" ht="12.75">
      <c r="Q1312" s="28"/>
      <c r="Y1312" s="28"/>
      <c r="AE1312" s="59"/>
      <c r="AH1312" s="9"/>
      <c r="AI1312" s="9"/>
      <c r="AL1312" s="9"/>
      <c r="AM1312" s="9"/>
      <c r="AP1312" s="9"/>
      <c r="AQ1312" s="9"/>
      <c r="AT1312" s="9"/>
      <c r="AU1312" s="9"/>
      <c r="AX1312" s="9"/>
      <c r="AY1312" s="9"/>
    </row>
    <row r="1313" spans="17:51" ht="12.75">
      <c r="Q1313" s="28"/>
      <c r="Y1313" s="28"/>
      <c r="AE1313" s="59"/>
      <c r="AH1313" s="9"/>
      <c r="AI1313" s="9"/>
      <c r="AL1313" s="9"/>
      <c r="AM1313" s="9"/>
      <c r="AP1313" s="9"/>
      <c r="AQ1313" s="9"/>
      <c r="AT1313" s="9"/>
      <c r="AU1313" s="9"/>
      <c r="AX1313" s="9"/>
      <c r="AY1313" s="9"/>
    </row>
    <row r="1314" spans="17:51" ht="12.75">
      <c r="Q1314" s="28"/>
      <c r="Y1314" s="28"/>
      <c r="AE1314" s="59"/>
      <c r="AH1314" s="9"/>
      <c r="AI1314" s="9"/>
      <c r="AL1314" s="9"/>
      <c r="AM1314" s="9"/>
      <c r="AP1314" s="9"/>
      <c r="AQ1314" s="9"/>
      <c r="AT1314" s="9"/>
      <c r="AU1314" s="9"/>
      <c r="AX1314" s="9"/>
      <c r="AY1314" s="9"/>
    </row>
    <row r="1315" spans="17:51" ht="12.75">
      <c r="Q1315" s="28"/>
      <c r="Y1315" s="28"/>
      <c r="AE1315" s="59"/>
      <c r="AH1315" s="9"/>
      <c r="AI1315" s="9"/>
      <c r="AL1315" s="9"/>
      <c r="AM1315" s="9"/>
      <c r="AP1315" s="9"/>
      <c r="AQ1315" s="9"/>
      <c r="AT1315" s="9"/>
      <c r="AU1315" s="9"/>
      <c r="AX1315" s="9"/>
      <c r="AY1315" s="9"/>
    </row>
    <row r="1316" spans="17:51" ht="12.75">
      <c r="Q1316" s="28"/>
      <c r="Y1316" s="28"/>
      <c r="AE1316" s="59"/>
      <c r="AH1316" s="9"/>
      <c r="AI1316" s="9"/>
      <c r="AL1316" s="9"/>
      <c r="AM1316" s="9"/>
      <c r="AP1316" s="9"/>
      <c r="AQ1316" s="9"/>
      <c r="AT1316" s="9"/>
      <c r="AU1316" s="9"/>
      <c r="AX1316" s="9"/>
      <c r="AY1316" s="9"/>
    </row>
    <row r="1317" spans="17:51" ht="12.75">
      <c r="Q1317" s="28"/>
      <c r="Y1317" s="28"/>
      <c r="AE1317" s="59"/>
      <c r="AH1317" s="9"/>
      <c r="AI1317" s="9"/>
      <c r="AL1317" s="9"/>
      <c r="AM1317" s="9"/>
      <c r="AP1317" s="9"/>
      <c r="AQ1317" s="9"/>
      <c r="AT1317" s="9"/>
      <c r="AU1317" s="9"/>
      <c r="AX1317" s="9"/>
      <c r="AY1317" s="9"/>
    </row>
    <row r="1318" spans="17:51" ht="12.75">
      <c r="Q1318" s="28"/>
      <c r="Y1318" s="28"/>
      <c r="AE1318" s="59"/>
      <c r="AH1318" s="9"/>
      <c r="AI1318" s="9"/>
      <c r="AL1318" s="9"/>
      <c r="AM1318" s="9"/>
      <c r="AP1318" s="9"/>
      <c r="AQ1318" s="9"/>
      <c r="AT1318" s="9"/>
      <c r="AU1318" s="9"/>
      <c r="AX1318" s="9"/>
      <c r="AY1318" s="9"/>
    </row>
    <row r="1319" spans="17:51" ht="12.75">
      <c r="Q1319" s="28"/>
      <c r="Y1319" s="28"/>
      <c r="AE1319" s="59"/>
      <c r="AH1319" s="9"/>
      <c r="AI1319" s="9"/>
      <c r="AL1319" s="9"/>
      <c r="AM1319" s="9"/>
      <c r="AP1319" s="9"/>
      <c r="AQ1319" s="9"/>
      <c r="AT1319" s="9"/>
      <c r="AU1319" s="9"/>
      <c r="AX1319" s="9"/>
      <c r="AY1319" s="9"/>
    </row>
    <row r="1320" spans="17:51" ht="12.75">
      <c r="Q1320" s="28"/>
      <c r="Y1320" s="28"/>
      <c r="AE1320" s="59"/>
      <c r="AH1320" s="9"/>
      <c r="AI1320" s="9"/>
      <c r="AL1320" s="9"/>
      <c r="AM1320" s="9"/>
      <c r="AP1320" s="9"/>
      <c r="AQ1320" s="9"/>
      <c r="AT1320" s="9"/>
      <c r="AU1320" s="9"/>
      <c r="AX1320" s="9"/>
      <c r="AY1320" s="9"/>
    </row>
    <row r="1321" spans="17:51" ht="12.75">
      <c r="Q1321" s="28"/>
      <c r="Y1321" s="28"/>
      <c r="AE1321" s="59"/>
      <c r="AH1321" s="9"/>
      <c r="AI1321" s="9"/>
      <c r="AL1321" s="9"/>
      <c r="AM1321" s="9"/>
      <c r="AP1321" s="9"/>
      <c r="AQ1321" s="9"/>
      <c r="AT1321" s="9"/>
      <c r="AU1321" s="9"/>
      <c r="AX1321" s="9"/>
      <c r="AY1321" s="9"/>
    </row>
    <row r="1322" spans="17:51" ht="12.75">
      <c r="Q1322" s="28"/>
      <c r="Y1322" s="28"/>
      <c r="AE1322" s="59"/>
      <c r="AH1322" s="9"/>
      <c r="AI1322" s="9"/>
      <c r="AL1322" s="9"/>
      <c r="AM1322" s="9"/>
      <c r="AP1322" s="9"/>
      <c r="AQ1322" s="9"/>
      <c r="AT1322" s="9"/>
      <c r="AU1322" s="9"/>
      <c r="AX1322" s="9"/>
      <c r="AY1322" s="9"/>
    </row>
    <row r="1323" spans="17:51" ht="12.75">
      <c r="Q1323" s="28"/>
      <c r="Y1323" s="28"/>
      <c r="AE1323" s="59"/>
      <c r="AH1323" s="9"/>
      <c r="AI1323" s="9"/>
      <c r="AL1323" s="9"/>
      <c r="AM1323" s="9"/>
      <c r="AP1323" s="9"/>
      <c r="AQ1323" s="9"/>
      <c r="AT1323" s="9"/>
      <c r="AU1323" s="9"/>
      <c r="AX1323" s="9"/>
      <c r="AY1323" s="9"/>
    </row>
    <row r="1324" spans="17:51" ht="12.75">
      <c r="Q1324" s="28"/>
      <c r="Y1324" s="28"/>
      <c r="AE1324" s="59"/>
      <c r="AH1324" s="9"/>
      <c r="AI1324" s="9"/>
      <c r="AL1324" s="9"/>
      <c r="AM1324" s="9"/>
      <c r="AP1324" s="9"/>
      <c r="AQ1324" s="9"/>
      <c r="AT1324" s="9"/>
      <c r="AU1324" s="9"/>
      <c r="AX1324" s="9"/>
      <c r="AY1324" s="9"/>
    </row>
    <row r="1325" spans="17:51" ht="12.75">
      <c r="Q1325" s="28"/>
      <c r="Y1325" s="28"/>
      <c r="AE1325" s="59"/>
      <c r="AH1325" s="9"/>
      <c r="AI1325" s="9"/>
      <c r="AL1325" s="9"/>
      <c r="AM1325" s="9"/>
      <c r="AP1325" s="9"/>
      <c r="AQ1325" s="9"/>
      <c r="AT1325" s="9"/>
      <c r="AU1325" s="9"/>
      <c r="AX1325" s="9"/>
      <c r="AY1325" s="9"/>
    </row>
    <row r="1326" spans="17:51" ht="12.75">
      <c r="Q1326" s="28"/>
      <c r="Y1326" s="28"/>
      <c r="AE1326" s="59"/>
      <c r="AH1326" s="9"/>
      <c r="AI1326" s="9"/>
      <c r="AL1326" s="9"/>
      <c r="AM1326" s="9"/>
      <c r="AP1326" s="9"/>
      <c r="AQ1326" s="9"/>
      <c r="AT1326" s="9"/>
      <c r="AU1326" s="9"/>
      <c r="AX1326" s="9"/>
      <c r="AY1326" s="9"/>
    </row>
    <row r="1327" spans="17:51" ht="12.75">
      <c r="Q1327" s="28"/>
      <c r="Y1327" s="28"/>
      <c r="AE1327" s="59"/>
      <c r="AH1327" s="9"/>
      <c r="AI1327" s="9"/>
      <c r="AL1327" s="9"/>
      <c r="AM1327" s="9"/>
      <c r="AP1327" s="9"/>
      <c r="AQ1327" s="9"/>
      <c r="AT1327" s="9"/>
      <c r="AU1327" s="9"/>
      <c r="AX1327" s="9"/>
      <c r="AY1327" s="9"/>
    </row>
    <row r="1328" spans="17:51" ht="12.75">
      <c r="Q1328" s="28"/>
      <c r="Y1328" s="28"/>
      <c r="AE1328" s="59"/>
      <c r="AH1328" s="9"/>
      <c r="AI1328" s="9"/>
      <c r="AL1328" s="9"/>
      <c r="AM1328" s="9"/>
      <c r="AP1328" s="9"/>
      <c r="AQ1328" s="9"/>
      <c r="AT1328" s="9"/>
      <c r="AU1328" s="9"/>
      <c r="AX1328" s="9"/>
      <c r="AY1328" s="9"/>
    </row>
    <row r="1329" spans="17:51" ht="12.75">
      <c r="Q1329" s="28"/>
      <c r="Y1329" s="28"/>
      <c r="AE1329" s="59"/>
      <c r="AH1329" s="9"/>
      <c r="AI1329" s="9"/>
      <c r="AL1329" s="9"/>
      <c r="AM1329" s="9"/>
      <c r="AP1329" s="9"/>
      <c r="AQ1329" s="9"/>
      <c r="AT1329" s="9"/>
      <c r="AU1329" s="9"/>
      <c r="AX1329" s="9"/>
      <c r="AY1329" s="9"/>
    </row>
    <row r="1330" spans="17:51" ht="12.75">
      <c r="Q1330" s="28"/>
      <c r="Y1330" s="28"/>
      <c r="AE1330" s="59"/>
      <c r="AH1330" s="9"/>
      <c r="AI1330" s="9"/>
      <c r="AL1330" s="9"/>
      <c r="AM1330" s="9"/>
      <c r="AP1330" s="9"/>
      <c r="AQ1330" s="9"/>
      <c r="AT1330" s="9"/>
      <c r="AU1330" s="9"/>
      <c r="AX1330" s="9"/>
      <c r="AY1330" s="9"/>
    </row>
    <row r="1331" spans="17:51" ht="12.75">
      <c r="Q1331" s="28"/>
      <c r="Y1331" s="28"/>
      <c r="AE1331" s="59"/>
      <c r="AH1331" s="9"/>
      <c r="AI1331" s="9"/>
      <c r="AL1331" s="9"/>
      <c r="AM1331" s="9"/>
      <c r="AP1331" s="9"/>
      <c r="AQ1331" s="9"/>
      <c r="AT1331" s="9"/>
      <c r="AU1331" s="9"/>
      <c r="AX1331" s="9"/>
      <c r="AY1331" s="9"/>
    </row>
    <row r="1332" spans="17:51" ht="12.75">
      <c r="Q1332" s="28"/>
      <c r="Y1332" s="28"/>
      <c r="AE1332" s="59"/>
      <c r="AH1332" s="9"/>
      <c r="AI1332" s="9"/>
      <c r="AL1332" s="9"/>
      <c r="AM1332" s="9"/>
      <c r="AP1332" s="9"/>
      <c r="AQ1332" s="9"/>
      <c r="AT1332" s="9"/>
      <c r="AU1332" s="9"/>
      <c r="AX1332" s="9"/>
      <c r="AY1332" s="9"/>
    </row>
    <row r="1333" spans="17:51" ht="12.75">
      <c r="Q1333" s="28"/>
      <c r="Y1333" s="28"/>
      <c r="AE1333" s="59"/>
      <c r="AH1333" s="9"/>
      <c r="AI1333" s="9"/>
      <c r="AL1333" s="9"/>
      <c r="AM1333" s="9"/>
      <c r="AP1333" s="9"/>
      <c r="AQ1333" s="9"/>
      <c r="AT1333" s="9"/>
      <c r="AU1333" s="9"/>
      <c r="AX1333" s="9"/>
      <c r="AY1333" s="9"/>
    </row>
    <row r="1334" spans="17:51" ht="12.75">
      <c r="Q1334" s="28"/>
      <c r="Y1334" s="28"/>
      <c r="AE1334" s="59"/>
      <c r="AH1334" s="9"/>
      <c r="AI1334" s="9"/>
      <c r="AL1334" s="9"/>
      <c r="AM1334" s="9"/>
      <c r="AP1334" s="9"/>
      <c r="AQ1334" s="9"/>
      <c r="AT1334" s="9"/>
      <c r="AU1334" s="9"/>
      <c r="AX1334" s="9"/>
      <c r="AY1334" s="9"/>
    </row>
    <row r="1335" spans="17:51" ht="12.75">
      <c r="Q1335" s="28"/>
      <c r="Y1335" s="28"/>
      <c r="AE1335" s="59"/>
      <c r="AH1335" s="9"/>
      <c r="AI1335" s="9"/>
      <c r="AL1335" s="9"/>
      <c r="AM1335" s="9"/>
      <c r="AP1335" s="9"/>
      <c r="AQ1335" s="9"/>
      <c r="AT1335" s="9"/>
      <c r="AU1335" s="9"/>
      <c r="AX1335" s="9"/>
      <c r="AY1335" s="9"/>
    </row>
    <row r="1336" spans="17:51" ht="12.75">
      <c r="Q1336" s="28"/>
      <c r="Y1336" s="28"/>
      <c r="AE1336" s="59"/>
      <c r="AH1336" s="9"/>
      <c r="AI1336" s="9"/>
      <c r="AL1336" s="9"/>
      <c r="AM1336" s="9"/>
      <c r="AP1336" s="9"/>
      <c r="AQ1336" s="9"/>
      <c r="AT1336" s="9"/>
      <c r="AU1336" s="9"/>
      <c r="AX1336" s="9"/>
      <c r="AY1336" s="9"/>
    </row>
    <row r="1337" spans="17:51" ht="12.75">
      <c r="Q1337" s="28"/>
      <c r="Y1337" s="28"/>
      <c r="AE1337" s="59"/>
      <c r="AH1337" s="9"/>
      <c r="AI1337" s="9"/>
      <c r="AL1337" s="9"/>
      <c r="AM1337" s="9"/>
      <c r="AP1337" s="9"/>
      <c r="AQ1337" s="9"/>
      <c r="AT1337" s="9"/>
      <c r="AU1337" s="9"/>
      <c r="AX1337" s="9"/>
      <c r="AY1337" s="9"/>
    </row>
    <row r="1338" spans="17:51" ht="12.75">
      <c r="Q1338" s="28"/>
      <c r="Y1338" s="28"/>
      <c r="AE1338" s="59"/>
      <c r="AH1338" s="9"/>
      <c r="AI1338" s="9"/>
      <c r="AL1338" s="9"/>
      <c r="AM1338" s="9"/>
      <c r="AP1338" s="9"/>
      <c r="AQ1338" s="9"/>
      <c r="AT1338" s="9"/>
      <c r="AU1338" s="9"/>
      <c r="AX1338" s="9"/>
      <c r="AY1338" s="9"/>
    </row>
    <row r="1339" spans="17:51" ht="12.75">
      <c r="Q1339" s="28"/>
      <c r="Y1339" s="28"/>
      <c r="AE1339" s="59"/>
      <c r="AH1339" s="9"/>
      <c r="AI1339" s="9"/>
      <c r="AL1339" s="9"/>
      <c r="AM1339" s="9"/>
      <c r="AP1339" s="9"/>
      <c r="AQ1339" s="9"/>
      <c r="AT1339" s="9"/>
      <c r="AU1339" s="9"/>
      <c r="AX1339" s="9"/>
      <c r="AY1339" s="9"/>
    </row>
    <row r="1340" spans="17:51" ht="12.75">
      <c r="Q1340" s="28"/>
      <c r="Y1340" s="28"/>
      <c r="AE1340" s="59"/>
      <c r="AH1340" s="9"/>
      <c r="AI1340" s="9"/>
      <c r="AL1340" s="9"/>
      <c r="AM1340" s="9"/>
      <c r="AP1340" s="9"/>
      <c r="AQ1340" s="9"/>
      <c r="AT1340" s="9"/>
      <c r="AU1340" s="9"/>
      <c r="AX1340" s="9"/>
      <c r="AY1340" s="9"/>
    </row>
    <row r="1341" spans="17:51" ht="12.75">
      <c r="Q1341" s="28"/>
      <c r="Y1341" s="28"/>
      <c r="AE1341" s="59"/>
      <c r="AH1341" s="9"/>
      <c r="AI1341" s="9"/>
      <c r="AL1341" s="9"/>
      <c r="AM1341" s="9"/>
      <c r="AP1341" s="9"/>
      <c r="AQ1341" s="9"/>
      <c r="AT1341" s="9"/>
      <c r="AU1341" s="9"/>
      <c r="AX1341" s="9"/>
      <c r="AY1341" s="9"/>
    </row>
    <row r="1342" spans="17:51" ht="12.75">
      <c r="Q1342" s="28"/>
      <c r="Y1342" s="28"/>
      <c r="AE1342" s="59"/>
      <c r="AH1342" s="9"/>
      <c r="AI1342" s="9"/>
      <c r="AL1342" s="9"/>
      <c r="AM1342" s="9"/>
      <c r="AP1342" s="9"/>
      <c r="AQ1342" s="9"/>
      <c r="AT1342" s="9"/>
      <c r="AU1342" s="9"/>
      <c r="AX1342" s="9"/>
      <c r="AY1342" s="9"/>
    </row>
    <row r="1343" spans="17:51" ht="12.75">
      <c r="Q1343" s="28"/>
      <c r="Y1343" s="28"/>
      <c r="AE1343" s="59"/>
      <c r="AH1343" s="9"/>
      <c r="AI1343" s="9"/>
      <c r="AL1343" s="9"/>
      <c r="AM1343" s="9"/>
      <c r="AP1343" s="9"/>
      <c r="AQ1343" s="9"/>
      <c r="AT1343" s="9"/>
      <c r="AU1343" s="9"/>
      <c r="AX1343" s="9"/>
      <c r="AY1343" s="9"/>
    </row>
    <row r="1344" spans="17:51" ht="12.75">
      <c r="Q1344" s="28"/>
      <c r="Y1344" s="28"/>
      <c r="AE1344" s="59"/>
      <c r="AH1344" s="9"/>
      <c r="AI1344" s="9"/>
      <c r="AL1344" s="9"/>
      <c r="AM1344" s="9"/>
      <c r="AP1344" s="9"/>
      <c r="AQ1344" s="9"/>
      <c r="AT1344" s="9"/>
      <c r="AU1344" s="9"/>
      <c r="AX1344" s="9"/>
      <c r="AY1344" s="9"/>
    </row>
    <row r="1345" spans="17:51" ht="12.75">
      <c r="Q1345" s="28"/>
      <c r="Y1345" s="28"/>
      <c r="AE1345" s="59"/>
      <c r="AH1345" s="9"/>
      <c r="AI1345" s="9"/>
      <c r="AL1345" s="9"/>
      <c r="AM1345" s="9"/>
      <c r="AP1345" s="9"/>
      <c r="AQ1345" s="9"/>
      <c r="AT1345" s="9"/>
      <c r="AU1345" s="9"/>
      <c r="AX1345" s="9"/>
      <c r="AY1345" s="9"/>
    </row>
    <row r="1346" spans="17:51" ht="12.75">
      <c r="Q1346" s="28"/>
      <c r="Y1346" s="28"/>
      <c r="AE1346" s="59"/>
      <c r="AH1346" s="9"/>
      <c r="AI1346" s="9"/>
      <c r="AL1346" s="9"/>
      <c r="AM1346" s="9"/>
      <c r="AP1346" s="9"/>
      <c r="AQ1346" s="9"/>
      <c r="AT1346" s="9"/>
      <c r="AU1346" s="9"/>
      <c r="AX1346" s="9"/>
      <c r="AY1346" s="9"/>
    </row>
    <row r="1347" spans="17:51" ht="12.75">
      <c r="Q1347" s="28"/>
      <c r="Y1347" s="28"/>
      <c r="AE1347" s="59"/>
      <c r="AH1347" s="9"/>
      <c r="AI1347" s="9"/>
      <c r="AL1347" s="9"/>
      <c r="AM1347" s="9"/>
      <c r="AP1347" s="9"/>
      <c r="AQ1347" s="9"/>
      <c r="AT1347" s="9"/>
      <c r="AU1347" s="9"/>
      <c r="AX1347" s="9"/>
      <c r="AY1347" s="9"/>
    </row>
    <row r="1348" spans="17:51" ht="12.75">
      <c r="Q1348" s="28"/>
      <c r="Y1348" s="28"/>
      <c r="AE1348" s="59"/>
      <c r="AH1348" s="9"/>
      <c r="AI1348" s="9"/>
      <c r="AL1348" s="9"/>
      <c r="AM1348" s="9"/>
      <c r="AP1348" s="9"/>
      <c r="AQ1348" s="9"/>
      <c r="AT1348" s="9"/>
      <c r="AU1348" s="9"/>
      <c r="AX1348" s="9"/>
      <c r="AY1348" s="9"/>
    </row>
    <row r="1349" spans="17:51" ht="12.75">
      <c r="Q1349" s="28"/>
      <c r="Y1349" s="28"/>
      <c r="AE1349" s="59"/>
      <c r="AH1349" s="9"/>
      <c r="AI1349" s="9"/>
      <c r="AL1349" s="9"/>
      <c r="AM1349" s="9"/>
      <c r="AP1349" s="9"/>
      <c r="AQ1349" s="9"/>
      <c r="AT1349" s="9"/>
      <c r="AU1349" s="9"/>
      <c r="AX1349" s="9"/>
      <c r="AY1349" s="9"/>
    </row>
    <row r="1350" spans="17:51" ht="12.75">
      <c r="Q1350" s="28"/>
      <c r="Y1350" s="28"/>
      <c r="AE1350" s="59"/>
      <c r="AH1350" s="9"/>
      <c r="AI1350" s="9"/>
      <c r="AL1350" s="9"/>
      <c r="AM1350" s="9"/>
      <c r="AP1350" s="9"/>
      <c r="AQ1350" s="9"/>
      <c r="AT1350" s="9"/>
      <c r="AU1350" s="9"/>
      <c r="AX1350" s="9"/>
      <c r="AY1350" s="9"/>
    </row>
    <row r="1351" spans="17:51" ht="12.75">
      <c r="Q1351" s="28"/>
      <c r="Y1351" s="28"/>
      <c r="AE1351" s="59"/>
      <c r="AH1351" s="9"/>
      <c r="AI1351" s="9"/>
      <c r="AL1351" s="9"/>
      <c r="AM1351" s="9"/>
      <c r="AP1351" s="9"/>
      <c r="AQ1351" s="9"/>
      <c r="AT1351" s="9"/>
      <c r="AU1351" s="9"/>
      <c r="AX1351" s="9"/>
      <c r="AY1351" s="9"/>
    </row>
    <row r="1352" spans="17:51" ht="12.75">
      <c r="Q1352" s="28"/>
      <c r="Y1352" s="28"/>
      <c r="AE1352" s="59"/>
      <c r="AH1352" s="9"/>
      <c r="AI1352" s="9"/>
      <c r="AL1352" s="9"/>
      <c r="AM1352" s="9"/>
      <c r="AP1352" s="9"/>
      <c r="AQ1352" s="9"/>
      <c r="AT1352" s="9"/>
      <c r="AU1352" s="9"/>
      <c r="AX1352" s="9"/>
      <c r="AY1352" s="9"/>
    </row>
    <row r="1353" spans="17:51" ht="12.75">
      <c r="Q1353" s="28"/>
      <c r="Y1353" s="28"/>
      <c r="AE1353" s="59"/>
      <c r="AH1353" s="9"/>
      <c r="AI1353" s="9"/>
      <c r="AL1353" s="9"/>
      <c r="AM1353" s="9"/>
      <c r="AP1353" s="9"/>
      <c r="AQ1353" s="9"/>
      <c r="AT1353" s="9"/>
      <c r="AU1353" s="9"/>
      <c r="AX1353" s="9"/>
      <c r="AY1353" s="9"/>
    </row>
    <row r="1354" spans="17:51" ht="12.75">
      <c r="Q1354" s="28"/>
      <c r="Y1354" s="28"/>
      <c r="AE1354" s="59"/>
      <c r="AH1354" s="9"/>
      <c r="AI1354" s="9"/>
      <c r="AL1354" s="9"/>
      <c r="AM1354" s="9"/>
      <c r="AP1354" s="9"/>
      <c r="AQ1354" s="9"/>
      <c r="AT1354" s="9"/>
      <c r="AU1354" s="9"/>
      <c r="AX1354" s="9"/>
      <c r="AY1354" s="9"/>
    </row>
    <row r="1355" spans="17:51" ht="12.75">
      <c r="Q1355" s="28"/>
      <c r="Y1355" s="28"/>
      <c r="AE1355" s="59"/>
      <c r="AH1355" s="9"/>
      <c r="AI1355" s="9"/>
      <c r="AL1355" s="9"/>
      <c r="AM1355" s="9"/>
      <c r="AP1355" s="9"/>
      <c r="AQ1355" s="9"/>
      <c r="AT1355" s="9"/>
      <c r="AU1355" s="9"/>
      <c r="AX1355" s="9"/>
      <c r="AY1355" s="9"/>
    </row>
    <row r="1356" spans="17:51" ht="12.75">
      <c r="Q1356" s="28"/>
      <c r="Y1356" s="28"/>
      <c r="AE1356" s="59"/>
      <c r="AH1356" s="9"/>
      <c r="AI1356" s="9"/>
      <c r="AL1356" s="9"/>
      <c r="AM1356" s="9"/>
      <c r="AP1356" s="9"/>
      <c r="AQ1356" s="9"/>
      <c r="AT1356" s="9"/>
      <c r="AU1356" s="9"/>
      <c r="AX1356" s="9"/>
      <c r="AY1356" s="9"/>
    </row>
    <row r="1357" spans="17:51" ht="12.75">
      <c r="Q1357" s="28"/>
      <c r="Y1357" s="28"/>
      <c r="AE1357" s="59"/>
      <c r="AH1357" s="9"/>
      <c r="AI1357" s="9"/>
      <c r="AL1357" s="9"/>
      <c r="AM1357" s="9"/>
      <c r="AP1357" s="9"/>
      <c r="AQ1357" s="9"/>
      <c r="AT1357" s="9"/>
      <c r="AU1357" s="9"/>
      <c r="AX1357" s="9"/>
      <c r="AY1357" s="9"/>
    </row>
    <row r="1358" spans="17:51" ht="12.75">
      <c r="Q1358" s="28"/>
      <c r="Y1358" s="28"/>
      <c r="AE1358" s="59"/>
      <c r="AH1358" s="9"/>
      <c r="AI1358" s="9"/>
      <c r="AL1358" s="9"/>
      <c r="AM1358" s="9"/>
      <c r="AP1358" s="9"/>
      <c r="AQ1358" s="9"/>
      <c r="AT1358" s="9"/>
      <c r="AU1358" s="9"/>
      <c r="AX1358" s="9"/>
      <c r="AY1358" s="9"/>
    </row>
    <row r="1359" spans="17:51" ht="12.75">
      <c r="Q1359" s="28"/>
      <c r="Y1359" s="28"/>
      <c r="AE1359" s="59"/>
      <c r="AH1359" s="9"/>
      <c r="AI1359" s="9"/>
      <c r="AL1359" s="9"/>
      <c r="AM1359" s="9"/>
      <c r="AP1359" s="9"/>
      <c r="AQ1359" s="9"/>
      <c r="AT1359" s="9"/>
      <c r="AU1359" s="9"/>
      <c r="AX1359" s="9"/>
      <c r="AY1359" s="9"/>
    </row>
    <row r="1360" spans="17:51" ht="12.75">
      <c r="Q1360" s="28"/>
      <c r="Y1360" s="28"/>
      <c r="AE1360" s="59"/>
      <c r="AH1360" s="9"/>
      <c r="AI1360" s="9"/>
      <c r="AL1360" s="9"/>
      <c r="AM1360" s="9"/>
      <c r="AP1360" s="9"/>
      <c r="AQ1360" s="9"/>
      <c r="AT1360" s="9"/>
      <c r="AU1360" s="9"/>
      <c r="AX1360" s="9"/>
      <c r="AY1360" s="9"/>
    </row>
    <row r="1361" spans="17:51" ht="12.75">
      <c r="Q1361" s="28"/>
      <c r="Y1361" s="28"/>
      <c r="AE1361" s="59"/>
      <c r="AH1361" s="9"/>
      <c r="AI1361" s="9"/>
      <c r="AL1361" s="9"/>
      <c r="AM1361" s="9"/>
      <c r="AP1361" s="9"/>
      <c r="AQ1361" s="9"/>
      <c r="AT1361" s="9"/>
      <c r="AU1361" s="9"/>
      <c r="AX1361" s="9"/>
      <c r="AY1361" s="9"/>
    </row>
    <row r="1362" spans="17:51" ht="12.75">
      <c r="Q1362" s="28"/>
      <c r="Y1362" s="28"/>
      <c r="AE1362" s="59"/>
      <c r="AH1362" s="9"/>
      <c r="AI1362" s="9"/>
      <c r="AL1362" s="9"/>
      <c r="AM1362" s="9"/>
      <c r="AP1362" s="9"/>
      <c r="AQ1362" s="9"/>
      <c r="AT1362" s="9"/>
      <c r="AU1362" s="9"/>
      <c r="AX1362" s="9"/>
      <c r="AY1362" s="9"/>
    </row>
    <row r="1363" spans="17:51" ht="12.75">
      <c r="Q1363" s="28"/>
      <c r="Y1363" s="28"/>
      <c r="AE1363" s="59"/>
      <c r="AH1363" s="9"/>
      <c r="AI1363" s="9"/>
      <c r="AL1363" s="9"/>
      <c r="AM1363" s="9"/>
      <c r="AP1363" s="9"/>
      <c r="AQ1363" s="9"/>
      <c r="AT1363" s="9"/>
      <c r="AU1363" s="9"/>
      <c r="AX1363" s="9"/>
      <c r="AY1363" s="9"/>
    </row>
    <row r="1364" spans="17:51" ht="12.75">
      <c r="Q1364" s="28"/>
      <c r="Y1364" s="28"/>
      <c r="AE1364" s="59"/>
      <c r="AH1364" s="9"/>
      <c r="AI1364" s="9"/>
      <c r="AL1364" s="9"/>
      <c r="AM1364" s="9"/>
      <c r="AP1364" s="9"/>
      <c r="AQ1364" s="9"/>
      <c r="AT1364" s="9"/>
      <c r="AU1364" s="9"/>
      <c r="AX1364" s="9"/>
      <c r="AY1364" s="9"/>
    </row>
    <row r="1365" spans="17:51" ht="12.75">
      <c r="Q1365" s="28"/>
      <c r="Y1365" s="28"/>
      <c r="AE1365" s="59"/>
      <c r="AH1365" s="9"/>
      <c r="AI1365" s="9"/>
      <c r="AL1365" s="9"/>
      <c r="AM1365" s="9"/>
      <c r="AP1365" s="9"/>
      <c r="AQ1365" s="9"/>
      <c r="AT1365" s="9"/>
      <c r="AU1365" s="9"/>
      <c r="AX1365" s="9"/>
      <c r="AY1365" s="9"/>
    </row>
    <row r="1366" spans="17:51" ht="12.75">
      <c r="Q1366" s="28"/>
      <c r="Y1366" s="28"/>
      <c r="AE1366" s="59"/>
      <c r="AH1366" s="9"/>
      <c r="AI1366" s="9"/>
      <c r="AL1366" s="9"/>
      <c r="AM1366" s="9"/>
      <c r="AP1366" s="9"/>
      <c r="AQ1366" s="9"/>
      <c r="AT1366" s="9"/>
      <c r="AU1366" s="9"/>
      <c r="AX1366" s="9"/>
      <c r="AY1366" s="9"/>
    </row>
    <row r="1367" spans="17:51" ht="12.75">
      <c r="Q1367" s="28"/>
      <c r="Y1367" s="28"/>
      <c r="AE1367" s="59"/>
      <c r="AH1367" s="9"/>
      <c r="AI1367" s="9"/>
      <c r="AL1367" s="9"/>
      <c r="AM1367" s="9"/>
      <c r="AP1367" s="9"/>
      <c r="AQ1367" s="9"/>
      <c r="AT1367" s="9"/>
      <c r="AU1367" s="9"/>
      <c r="AX1367" s="9"/>
      <c r="AY1367" s="9"/>
    </row>
    <row r="1368" spans="17:51" ht="12.75">
      <c r="Q1368" s="28"/>
      <c r="Y1368" s="28"/>
      <c r="AE1368" s="59"/>
      <c r="AH1368" s="9"/>
      <c r="AI1368" s="9"/>
      <c r="AL1368" s="9"/>
      <c r="AM1368" s="9"/>
      <c r="AP1368" s="9"/>
      <c r="AQ1368" s="9"/>
      <c r="AT1368" s="9"/>
      <c r="AU1368" s="9"/>
      <c r="AX1368" s="9"/>
      <c r="AY1368" s="9"/>
    </row>
    <row r="1369" spans="17:51" ht="12.75">
      <c r="Q1369" s="28"/>
      <c r="Y1369" s="28"/>
      <c r="AE1369" s="59"/>
      <c r="AH1369" s="9"/>
      <c r="AI1369" s="9"/>
      <c r="AL1369" s="9"/>
      <c r="AM1369" s="9"/>
      <c r="AP1369" s="9"/>
      <c r="AQ1369" s="9"/>
      <c r="AT1369" s="9"/>
      <c r="AU1369" s="9"/>
      <c r="AX1369" s="9"/>
      <c r="AY1369" s="9"/>
    </row>
    <row r="1370" spans="17:51" ht="12.75">
      <c r="Q1370" s="28"/>
      <c r="Y1370" s="28"/>
      <c r="AE1370" s="59"/>
      <c r="AH1370" s="9"/>
      <c r="AI1370" s="9"/>
      <c r="AL1370" s="9"/>
      <c r="AM1370" s="9"/>
      <c r="AP1370" s="9"/>
      <c r="AQ1370" s="9"/>
      <c r="AT1370" s="9"/>
      <c r="AU1370" s="9"/>
      <c r="AX1370" s="9"/>
      <c r="AY1370" s="9"/>
    </row>
    <row r="1371" spans="17:51" ht="12.75">
      <c r="Q1371" s="28"/>
      <c r="Y1371" s="28"/>
      <c r="AE1371" s="59"/>
      <c r="AH1371" s="9"/>
      <c r="AI1371" s="9"/>
      <c r="AL1371" s="9"/>
      <c r="AM1371" s="9"/>
      <c r="AP1371" s="9"/>
      <c r="AQ1371" s="9"/>
      <c r="AT1371" s="9"/>
      <c r="AU1371" s="9"/>
      <c r="AX1371" s="9"/>
      <c r="AY1371" s="9"/>
    </row>
    <row r="1372" spans="17:51" ht="12.75">
      <c r="Q1372" s="28"/>
      <c r="Y1372" s="28"/>
      <c r="AE1372" s="59"/>
      <c r="AH1372" s="9"/>
      <c r="AI1372" s="9"/>
      <c r="AL1372" s="9"/>
      <c r="AM1372" s="9"/>
      <c r="AP1372" s="9"/>
      <c r="AQ1372" s="9"/>
      <c r="AT1372" s="9"/>
      <c r="AU1372" s="9"/>
      <c r="AX1372" s="9"/>
      <c r="AY1372" s="9"/>
    </row>
    <row r="1373" spans="17:51" ht="12.75">
      <c r="Q1373" s="28"/>
      <c r="Y1373" s="28"/>
      <c r="AE1373" s="59"/>
      <c r="AH1373" s="9"/>
      <c r="AI1373" s="9"/>
      <c r="AL1373" s="9"/>
      <c r="AM1373" s="9"/>
      <c r="AP1373" s="9"/>
      <c r="AQ1373" s="9"/>
      <c r="AT1373" s="9"/>
      <c r="AU1373" s="9"/>
      <c r="AX1373" s="9"/>
      <c r="AY1373" s="9"/>
    </row>
    <row r="1374" spans="17:51" ht="12.75">
      <c r="Q1374" s="28"/>
      <c r="Y1374" s="28"/>
      <c r="AE1374" s="59"/>
      <c r="AH1374" s="9"/>
      <c r="AI1374" s="9"/>
      <c r="AL1374" s="9"/>
      <c r="AM1374" s="9"/>
      <c r="AP1374" s="9"/>
      <c r="AQ1374" s="9"/>
      <c r="AT1374" s="9"/>
      <c r="AU1374" s="9"/>
      <c r="AX1374" s="9"/>
      <c r="AY1374" s="9"/>
    </row>
    <row r="1375" spans="17:51" ht="12.75">
      <c r="Q1375" s="28"/>
      <c r="Y1375" s="28"/>
      <c r="AE1375" s="59"/>
      <c r="AH1375" s="9"/>
      <c r="AI1375" s="9"/>
      <c r="AL1375" s="9"/>
      <c r="AM1375" s="9"/>
      <c r="AP1375" s="9"/>
      <c r="AQ1375" s="9"/>
      <c r="AT1375" s="9"/>
      <c r="AU1375" s="9"/>
      <c r="AX1375" s="9"/>
      <c r="AY1375" s="9"/>
    </row>
    <row r="1376" spans="17:51" ht="12.75">
      <c r="Q1376" s="28"/>
      <c r="Y1376" s="28"/>
      <c r="AE1376" s="59"/>
      <c r="AH1376" s="9"/>
      <c r="AI1376" s="9"/>
      <c r="AL1376" s="9"/>
      <c r="AM1376" s="9"/>
      <c r="AP1376" s="9"/>
      <c r="AQ1376" s="9"/>
      <c r="AT1376" s="9"/>
      <c r="AU1376" s="9"/>
      <c r="AX1376" s="9"/>
      <c r="AY1376" s="9"/>
    </row>
    <row r="1377" spans="17:51" ht="12.75">
      <c r="Q1377" s="28"/>
      <c r="Y1377" s="28"/>
      <c r="AE1377" s="59"/>
      <c r="AH1377" s="9"/>
      <c r="AI1377" s="9"/>
      <c r="AL1377" s="9"/>
      <c r="AM1377" s="9"/>
      <c r="AP1377" s="9"/>
      <c r="AQ1377" s="9"/>
      <c r="AT1377" s="9"/>
      <c r="AU1377" s="9"/>
      <c r="AX1377" s="9"/>
      <c r="AY1377" s="9"/>
    </row>
    <row r="1378" spans="17:51" ht="12.75">
      <c r="Q1378" s="28"/>
      <c r="Y1378" s="28"/>
      <c r="AE1378" s="59"/>
      <c r="AH1378" s="9"/>
      <c r="AI1378" s="9"/>
      <c r="AL1378" s="9"/>
      <c r="AM1378" s="9"/>
      <c r="AP1378" s="9"/>
      <c r="AQ1378" s="9"/>
      <c r="AT1378" s="9"/>
      <c r="AU1378" s="9"/>
      <c r="AX1378" s="9"/>
      <c r="AY1378" s="9"/>
    </row>
    <row r="1379" spans="17:51" ht="12.75">
      <c r="Q1379" s="28"/>
      <c r="Y1379" s="28"/>
      <c r="AE1379" s="59"/>
      <c r="AH1379" s="9"/>
      <c r="AI1379" s="9"/>
      <c r="AL1379" s="9"/>
      <c r="AM1379" s="9"/>
      <c r="AP1379" s="9"/>
      <c r="AQ1379" s="9"/>
      <c r="AT1379" s="9"/>
      <c r="AU1379" s="9"/>
      <c r="AX1379" s="9"/>
      <c r="AY1379" s="9"/>
    </row>
    <row r="1380" spans="17:51" ht="12.75">
      <c r="Q1380" s="28"/>
      <c r="Y1380" s="28"/>
      <c r="AE1380" s="59"/>
      <c r="AH1380" s="9"/>
      <c r="AI1380" s="9"/>
      <c r="AL1380" s="9"/>
      <c r="AM1380" s="9"/>
      <c r="AP1380" s="9"/>
      <c r="AQ1380" s="9"/>
      <c r="AT1380" s="9"/>
      <c r="AU1380" s="9"/>
      <c r="AX1380" s="9"/>
      <c r="AY1380" s="9"/>
    </row>
    <row r="1381" spans="17:51" ht="12.75">
      <c r="Q1381" s="28"/>
      <c r="Y1381" s="28"/>
      <c r="AE1381" s="59"/>
      <c r="AH1381" s="9"/>
      <c r="AI1381" s="9"/>
      <c r="AL1381" s="9"/>
      <c r="AM1381" s="9"/>
      <c r="AP1381" s="9"/>
      <c r="AQ1381" s="9"/>
      <c r="AT1381" s="9"/>
      <c r="AU1381" s="9"/>
      <c r="AX1381" s="9"/>
      <c r="AY1381" s="9"/>
    </row>
    <row r="1382" spans="17:51" ht="12.75">
      <c r="Q1382" s="28"/>
      <c r="Y1382" s="28"/>
      <c r="AE1382" s="59"/>
      <c r="AH1382" s="9"/>
      <c r="AI1382" s="9"/>
      <c r="AL1382" s="9"/>
      <c r="AM1382" s="9"/>
      <c r="AP1382" s="9"/>
      <c r="AQ1382" s="9"/>
      <c r="AT1382" s="9"/>
      <c r="AU1382" s="9"/>
      <c r="AX1382" s="9"/>
      <c r="AY1382" s="9"/>
    </row>
    <row r="1383" spans="17:51" ht="12.75">
      <c r="Q1383" s="28"/>
      <c r="Y1383" s="28"/>
      <c r="AE1383" s="59"/>
      <c r="AH1383" s="9"/>
      <c r="AI1383" s="9"/>
      <c r="AL1383" s="9"/>
      <c r="AM1383" s="9"/>
      <c r="AP1383" s="9"/>
      <c r="AQ1383" s="9"/>
      <c r="AT1383" s="9"/>
      <c r="AU1383" s="9"/>
      <c r="AX1383" s="9"/>
      <c r="AY1383" s="9"/>
    </row>
    <row r="1384" spans="17:51" ht="12.75">
      <c r="Q1384" s="28"/>
      <c r="Y1384" s="28"/>
      <c r="AE1384" s="59"/>
      <c r="AH1384" s="9"/>
      <c r="AI1384" s="9"/>
      <c r="AL1384" s="9"/>
      <c r="AM1384" s="9"/>
      <c r="AP1384" s="9"/>
      <c r="AQ1384" s="9"/>
      <c r="AT1384" s="9"/>
      <c r="AU1384" s="9"/>
      <c r="AX1384" s="9"/>
      <c r="AY1384" s="9"/>
    </row>
    <row r="1385" spans="17:51" ht="12.75">
      <c r="Q1385" s="28"/>
      <c r="Y1385" s="28"/>
      <c r="AE1385" s="59"/>
      <c r="AH1385" s="9"/>
      <c r="AI1385" s="9"/>
      <c r="AL1385" s="9"/>
      <c r="AM1385" s="9"/>
      <c r="AP1385" s="9"/>
      <c r="AQ1385" s="9"/>
      <c r="AT1385" s="9"/>
      <c r="AU1385" s="9"/>
      <c r="AX1385" s="9"/>
      <c r="AY1385" s="9"/>
    </row>
    <row r="1386" spans="17:51" ht="12.75">
      <c r="Q1386" s="28"/>
      <c r="Y1386" s="28"/>
      <c r="AE1386" s="59"/>
      <c r="AH1386" s="9"/>
      <c r="AI1386" s="9"/>
      <c r="AL1386" s="9"/>
      <c r="AM1386" s="9"/>
      <c r="AP1386" s="9"/>
      <c r="AQ1386" s="9"/>
      <c r="AT1386" s="9"/>
      <c r="AU1386" s="9"/>
      <c r="AX1386" s="9"/>
      <c r="AY1386" s="9"/>
    </row>
    <row r="1387" spans="17:51" ht="12.75">
      <c r="Q1387" s="28"/>
      <c r="Y1387" s="28"/>
      <c r="AE1387" s="59"/>
      <c r="AH1387" s="9"/>
      <c r="AI1387" s="9"/>
      <c r="AL1387" s="9"/>
      <c r="AM1387" s="9"/>
      <c r="AP1387" s="9"/>
      <c r="AQ1387" s="9"/>
      <c r="AT1387" s="9"/>
      <c r="AU1387" s="9"/>
      <c r="AX1387" s="9"/>
      <c r="AY1387" s="9"/>
    </row>
    <row r="1388" spans="17:51" ht="12.75">
      <c r="Q1388" s="28"/>
      <c r="Y1388" s="28"/>
      <c r="AE1388" s="59"/>
      <c r="AH1388" s="9"/>
      <c r="AI1388" s="9"/>
      <c r="AL1388" s="9"/>
      <c r="AM1388" s="9"/>
      <c r="AP1388" s="9"/>
      <c r="AQ1388" s="9"/>
      <c r="AT1388" s="9"/>
      <c r="AU1388" s="9"/>
      <c r="AX1388" s="9"/>
      <c r="AY1388" s="9"/>
    </row>
    <row r="1389" spans="17:51" ht="12.75">
      <c r="Q1389" s="28"/>
      <c r="Y1389" s="28"/>
      <c r="AE1389" s="59"/>
      <c r="AH1389" s="9"/>
      <c r="AI1389" s="9"/>
      <c r="AL1389" s="9"/>
      <c r="AM1389" s="9"/>
      <c r="AP1389" s="9"/>
      <c r="AQ1389" s="9"/>
      <c r="AT1389" s="9"/>
      <c r="AU1389" s="9"/>
      <c r="AX1389" s="9"/>
      <c r="AY1389" s="9"/>
    </row>
    <row r="1390" spans="17:51" ht="12.75">
      <c r="Q1390" s="28"/>
      <c r="Y1390" s="28"/>
      <c r="AE1390" s="59"/>
      <c r="AH1390" s="9"/>
      <c r="AI1390" s="9"/>
      <c r="AL1390" s="9"/>
      <c r="AM1390" s="9"/>
      <c r="AP1390" s="9"/>
      <c r="AQ1390" s="9"/>
      <c r="AT1390" s="9"/>
      <c r="AU1390" s="9"/>
      <c r="AX1390" s="9"/>
      <c r="AY1390" s="9"/>
    </row>
    <row r="1391" spans="17:51" ht="12.75">
      <c r="Q1391" s="28"/>
      <c r="Y1391" s="28"/>
      <c r="AE1391" s="59"/>
      <c r="AH1391" s="9"/>
      <c r="AI1391" s="9"/>
      <c r="AL1391" s="9"/>
      <c r="AM1391" s="9"/>
      <c r="AP1391" s="9"/>
      <c r="AQ1391" s="9"/>
      <c r="AT1391" s="9"/>
      <c r="AU1391" s="9"/>
      <c r="AX1391" s="9"/>
      <c r="AY1391" s="9"/>
    </row>
    <row r="1392" spans="17:51" ht="12.75">
      <c r="Q1392" s="28"/>
      <c r="Y1392" s="28"/>
      <c r="AE1392" s="59"/>
      <c r="AH1392" s="9"/>
      <c r="AI1392" s="9"/>
      <c r="AL1392" s="9"/>
      <c r="AM1392" s="9"/>
      <c r="AP1392" s="9"/>
      <c r="AQ1392" s="9"/>
      <c r="AT1392" s="9"/>
      <c r="AU1392" s="9"/>
      <c r="AX1392" s="9"/>
      <c r="AY1392" s="9"/>
    </row>
    <row r="1393" spans="17:51" ht="12.75">
      <c r="Q1393" s="28"/>
      <c r="Y1393" s="28"/>
      <c r="AE1393" s="59"/>
      <c r="AH1393" s="9"/>
      <c r="AI1393" s="9"/>
      <c r="AL1393" s="9"/>
      <c r="AM1393" s="9"/>
      <c r="AP1393" s="9"/>
      <c r="AQ1393" s="9"/>
      <c r="AT1393" s="9"/>
      <c r="AU1393" s="9"/>
      <c r="AX1393" s="9"/>
      <c r="AY1393" s="9"/>
    </row>
    <row r="1394" spans="17:51" ht="12.75">
      <c r="Q1394" s="28"/>
      <c r="Y1394" s="28"/>
      <c r="AE1394" s="59"/>
      <c r="AH1394" s="9"/>
      <c r="AI1394" s="9"/>
      <c r="AL1394" s="9"/>
      <c r="AM1394" s="9"/>
      <c r="AP1394" s="9"/>
      <c r="AQ1394" s="9"/>
      <c r="AT1394" s="9"/>
      <c r="AU1394" s="9"/>
      <c r="AX1394" s="9"/>
      <c r="AY1394" s="9"/>
    </row>
    <row r="1395" spans="17:51" ht="12.75">
      <c r="Q1395" s="28"/>
      <c r="Y1395" s="28"/>
      <c r="AE1395" s="59"/>
      <c r="AH1395" s="9"/>
      <c r="AI1395" s="9"/>
      <c r="AL1395" s="9"/>
      <c r="AM1395" s="9"/>
      <c r="AP1395" s="9"/>
      <c r="AQ1395" s="9"/>
      <c r="AT1395" s="9"/>
      <c r="AU1395" s="9"/>
      <c r="AX1395" s="9"/>
      <c r="AY1395" s="9"/>
    </row>
    <row r="1396" spans="17:51" ht="12.75">
      <c r="Q1396" s="28"/>
      <c r="Y1396" s="28"/>
      <c r="AE1396" s="59"/>
      <c r="AH1396" s="9"/>
      <c r="AI1396" s="9"/>
      <c r="AL1396" s="9"/>
      <c r="AM1396" s="9"/>
      <c r="AP1396" s="9"/>
      <c r="AQ1396" s="9"/>
      <c r="AT1396" s="9"/>
      <c r="AU1396" s="9"/>
      <c r="AX1396" s="9"/>
      <c r="AY1396" s="9"/>
    </row>
    <row r="1397" spans="17:51" ht="12.75">
      <c r="Q1397" s="28"/>
      <c r="Y1397" s="28"/>
      <c r="AE1397" s="59"/>
      <c r="AH1397" s="9"/>
      <c r="AI1397" s="9"/>
      <c r="AL1397" s="9"/>
      <c r="AM1397" s="9"/>
      <c r="AP1397" s="9"/>
      <c r="AQ1397" s="9"/>
      <c r="AT1397" s="9"/>
      <c r="AU1397" s="9"/>
      <c r="AX1397" s="9"/>
      <c r="AY1397" s="9"/>
    </row>
    <row r="1398" spans="17:51" ht="12.75">
      <c r="Q1398" s="28"/>
      <c r="Y1398" s="28"/>
      <c r="AE1398" s="59"/>
      <c r="AH1398" s="9"/>
      <c r="AI1398" s="9"/>
      <c r="AL1398" s="9"/>
      <c r="AM1398" s="9"/>
      <c r="AP1398" s="9"/>
      <c r="AQ1398" s="9"/>
      <c r="AT1398" s="9"/>
      <c r="AU1398" s="9"/>
      <c r="AX1398" s="9"/>
      <c r="AY1398" s="9"/>
    </row>
    <row r="1399" spans="17:51" ht="12.75">
      <c r="Q1399" s="28"/>
      <c r="Y1399" s="28"/>
      <c r="AE1399" s="59"/>
      <c r="AH1399" s="9"/>
      <c r="AI1399" s="9"/>
      <c r="AL1399" s="9"/>
      <c r="AM1399" s="9"/>
      <c r="AP1399" s="9"/>
      <c r="AQ1399" s="9"/>
      <c r="AT1399" s="9"/>
      <c r="AU1399" s="9"/>
      <c r="AX1399" s="9"/>
      <c r="AY1399" s="9"/>
    </row>
    <row r="1400" spans="17:51" ht="12.75">
      <c r="Q1400" s="28"/>
      <c r="Y1400" s="28"/>
      <c r="AE1400" s="59"/>
      <c r="AH1400" s="9"/>
      <c r="AI1400" s="9"/>
      <c r="AL1400" s="9"/>
      <c r="AM1400" s="9"/>
      <c r="AP1400" s="9"/>
      <c r="AQ1400" s="9"/>
      <c r="AT1400" s="9"/>
      <c r="AU1400" s="9"/>
      <c r="AX1400" s="9"/>
      <c r="AY1400" s="9"/>
    </row>
    <row r="1401" spans="17:51" ht="12.75">
      <c r="Q1401" s="28"/>
      <c r="Y1401" s="28"/>
      <c r="AE1401" s="59"/>
      <c r="AH1401" s="9"/>
      <c r="AI1401" s="9"/>
      <c r="AL1401" s="9"/>
      <c r="AM1401" s="9"/>
      <c r="AP1401" s="9"/>
      <c r="AQ1401" s="9"/>
      <c r="AT1401" s="9"/>
      <c r="AU1401" s="9"/>
      <c r="AX1401" s="9"/>
      <c r="AY1401" s="9"/>
    </row>
    <row r="1402" spans="17:51" ht="12.75">
      <c r="Q1402" s="28"/>
      <c r="Y1402" s="28"/>
      <c r="AE1402" s="59"/>
      <c r="AH1402" s="9"/>
      <c r="AI1402" s="9"/>
      <c r="AL1402" s="9"/>
      <c r="AM1402" s="9"/>
      <c r="AP1402" s="9"/>
      <c r="AQ1402" s="9"/>
      <c r="AT1402" s="9"/>
      <c r="AU1402" s="9"/>
      <c r="AX1402" s="9"/>
      <c r="AY1402" s="9"/>
    </row>
    <row r="1403" spans="17:51" ht="12.75">
      <c r="Q1403" s="28"/>
      <c r="Y1403" s="28"/>
      <c r="AE1403" s="59"/>
      <c r="AH1403" s="9"/>
      <c r="AI1403" s="9"/>
      <c r="AL1403" s="9"/>
      <c r="AM1403" s="9"/>
      <c r="AP1403" s="9"/>
      <c r="AQ1403" s="9"/>
      <c r="AT1403" s="9"/>
      <c r="AU1403" s="9"/>
      <c r="AX1403" s="9"/>
      <c r="AY1403" s="9"/>
    </row>
    <row r="1404" spans="17:51" ht="12.75">
      <c r="Q1404" s="28"/>
      <c r="Y1404" s="28"/>
      <c r="AE1404" s="59"/>
      <c r="AH1404" s="9"/>
      <c r="AI1404" s="9"/>
      <c r="AL1404" s="9"/>
      <c r="AM1404" s="9"/>
      <c r="AP1404" s="9"/>
      <c r="AQ1404" s="9"/>
      <c r="AT1404" s="9"/>
      <c r="AU1404" s="9"/>
      <c r="AX1404" s="9"/>
      <c r="AY1404" s="9"/>
    </row>
    <row r="1405" spans="17:51" ht="12.75">
      <c r="Q1405" s="28"/>
      <c r="Y1405" s="28"/>
      <c r="AE1405" s="59"/>
      <c r="AH1405" s="9"/>
      <c r="AI1405" s="9"/>
      <c r="AL1405" s="9"/>
      <c r="AM1405" s="9"/>
      <c r="AP1405" s="9"/>
      <c r="AQ1405" s="9"/>
      <c r="AT1405" s="9"/>
      <c r="AU1405" s="9"/>
      <c r="AX1405" s="9"/>
      <c r="AY1405" s="9"/>
    </row>
    <row r="1406" spans="17:51" ht="12.75">
      <c r="Q1406" s="28"/>
      <c r="Y1406" s="28"/>
      <c r="AE1406" s="59"/>
      <c r="AH1406" s="9"/>
      <c r="AI1406" s="9"/>
      <c r="AL1406" s="9"/>
      <c r="AM1406" s="9"/>
      <c r="AP1406" s="9"/>
      <c r="AQ1406" s="9"/>
      <c r="AT1406" s="9"/>
      <c r="AU1406" s="9"/>
      <c r="AX1406" s="9"/>
      <c r="AY1406" s="9"/>
    </row>
    <row r="1407" spans="17:51" ht="12.75">
      <c r="Q1407" s="28"/>
      <c r="Y1407" s="28"/>
      <c r="AE1407" s="59"/>
      <c r="AH1407" s="9"/>
      <c r="AI1407" s="9"/>
      <c r="AL1407" s="9"/>
      <c r="AM1407" s="9"/>
      <c r="AP1407" s="9"/>
      <c r="AQ1407" s="9"/>
      <c r="AT1407" s="9"/>
      <c r="AU1407" s="9"/>
      <c r="AX1407" s="9"/>
      <c r="AY1407" s="9"/>
    </row>
    <row r="1408" spans="17:51" ht="12.75">
      <c r="Q1408" s="28"/>
      <c r="Y1408" s="28"/>
      <c r="AE1408" s="59"/>
      <c r="AH1408" s="9"/>
      <c r="AI1408" s="9"/>
      <c r="AL1408" s="9"/>
      <c r="AM1408" s="9"/>
      <c r="AP1408" s="9"/>
      <c r="AQ1408" s="9"/>
      <c r="AT1408" s="9"/>
      <c r="AU1408" s="9"/>
      <c r="AX1408" s="9"/>
      <c r="AY1408" s="9"/>
    </row>
    <row r="1409" spans="17:51" ht="12.75">
      <c r="Q1409" s="28"/>
      <c r="Y1409" s="28"/>
      <c r="AE1409" s="59"/>
      <c r="AH1409" s="9"/>
      <c r="AI1409" s="9"/>
      <c r="AL1409" s="9"/>
      <c r="AM1409" s="9"/>
      <c r="AP1409" s="9"/>
      <c r="AQ1409" s="9"/>
      <c r="AT1409" s="9"/>
      <c r="AU1409" s="9"/>
      <c r="AX1409" s="9"/>
      <c r="AY1409" s="9"/>
    </row>
    <row r="1410" spans="17:51" ht="12.75">
      <c r="Q1410" s="28"/>
      <c r="Y1410" s="28"/>
      <c r="AE1410" s="59"/>
      <c r="AH1410" s="9"/>
      <c r="AI1410" s="9"/>
      <c r="AL1410" s="9"/>
      <c r="AM1410" s="9"/>
      <c r="AP1410" s="9"/>
      <c r="AQ1410" s="9"/>
      <c r="AT1410" s="9"/>
      <c r="AU1410" s="9"/>
      <c r="AX1410" s="9"/>
      <c r="AY1410" s="9"/>
    </row>
    <row r="1411" spans="17:51" ht="12.75">
      <c r="Q1411" s="28"/>
      <c r="Y1411" s="28"/>
      <c r="AE1411" s="59"/>
      <c r="AH1411" s="9"/>
      <c r="AI1411" s="9"/>
      <c r="AL1411" s="9"/>
      <c r="AM1411" s="9"/>
      <c r="AP1411" s="9"/>
      <c r="AQ1411" s="9"/>
      <c r="AT1411" s="9"/>
      <c r="AU1411" s="9"/>
      <c r="AX1411" s="9"/>
      <c r="AY1411" s="9"/>
    </row>
    <row r="1412" spans="17:51" ht="12.75">
      <c r="Q1412" s="28"/>
      <c r="Y1412" s="28"/>
      <c r="AE1412" s="59"/>
      <c r="AH1412" s="9"/>
      <c r="AI1412" s="9"/>
      <c r="AL1412" s="9"/>
      <c r="AM1412" s="9"/>
      <c r="AP1412" s="9"/>
      <c r="AQ1412" s="9"/>
      <c r="AT1412" s="9"/>
      <c r="AU1412" s="9"/>
      <c r="AX1412" s="9"/>
      <c r="AY1412" s="9"/>
    </row>
    <row r="1413" spans="17:51" ht="12.75">
      <c r="Q1413" s="28"/>
      <c r="Y1413" s="28"/>
      <c r="AE1413" s="59"/>
      <c r="AH1413" s="9"/>
      <c r="AI1413" s="9"/>
      <c r="AL1413" s="9"/>
      <c r="AM1413" s="9"/>
      <c r="AP1413" s="9"/>
      <c r="AQ1413" s="9"/>
      <c r="AT1413" s="9"/>
      <c r="AU1413" s="9"/>
      <c r="AX1413" s="9"/>
      <c r="AY1413" s="9"/>
    </row>
    <row r="1414" spans="17:51" ht="12.75">
      <c r="Q1414" s="28"/>
      <c r="Y1414" s="28"/>
      <c r="AE1414" s="59"/>
      <c r="AH1414" s="9"/>
      <c r="AI1414" s="9"/>
      <c r="AL1414" s="9"/>
      <c r="AM1414" s="9"/>
      <c r="AP1414" s="9"/>
      <c r="AQ1414" s="9"/>
      <c r="AT1414" s="9"/>
      <c r="AU1414" s="9"/>
      <c r="AX1414" s="9"/>
      <c r="AY1414" s="9"/>
    </row>
    <row r="1415" spans="17:51" ht="12.75">
      <c r="Q1415" s="28"/>
      <c r="Y1415" s="28"/>
      <c r="AE1415" s="59"/>
      <c r="AH1415" s="9"/>
      <c r="AI1415" s="9"/>
      <c r="AL1415" s="9"/>
      <c r="AM1415" s="9"/>
      <c r="AP1415" s="9"/>
      <c r="AQ1415" s="9"/>
      <c r="AT1415" s="9"/>
      <c r="AU1415" s="9"/>
      <c r="AX1415" s="9"/>
      <c r="AY1415" s="9"/>
    </row>
    <row r="1416" spans="17:51" ht="12.75">
      <c r="Q1416" s="28"/>
      <c r="Y1416" s="28"/>
      <c r="AE1416" s="59"/>
      <c r="AH1416" s="9"/>
      <c r="AI1416" s="9"/>
      <c r="AL1416" s="9"/>
      <c r="AM1416" s="9"/>
      <c r="AP1416" s="9"/>
      <c r="AQ1416" s="9"/>
      <c r="AT1416" s="9"/>
      <c r="AU1416" s="9"/>
      <c r="AX1416" s="9"/>
      <c r="AY1416" s="9"/>
    </row>
    <row r="1417" spans="17:51" ht="12.75">
      <c r="Q1417" s="28"/>
      <c r="Y1417" s="28"/>
      <c r="AE1417" s="59"/>
      <c r="AH1417" s="9"/>
      <c r="AI1417" s="9"/>
      <c r="AL1417" s="9"/>
      <c r="AM1417" s="9"/>
      <c r="AP1417" s="9"/>
      <c r="AQ1417" s="9"/>
      <c r="AT1417" s="9"/>
      <c r="AU1417" s="9"/>
      <c r="AX1417" s="9"/>
      <c r="AY1417" s="9"/>
    </row>
    <row r="1418" spans="17:51" ht="12.75">
      <c r="Q1418" s="28"/>
      <c r="Y1418" s="28"/>
      <c r="AE1418" s="59"/>
      <c r="AH1418" s="9"/>
      <c r="AI1418" s="9"/>
      <c r="AL1418" s="9"/>
      <c r="AM1418" s="9"/>
      <c r="AP1418" s="9"/>
      <c r="AQ1418" s="9"/>
      <c r="AT1418" s="9"/>
      <c r="AU1418" s="9"/>
      <c r="AX1418" s="9"/>
      <c r="AY1418" s="9"/>
    </row>
    <row r="1419" spans="17:51" ht="12.75">
      <c r="Q1419" s="28"/>
      <c r="Y1419" s="28"/>
      <c r="AE1419" s="59"/>
      <c r="AH1419" s="9"/>
      <c r="AI1419" s="9"/>
      <c r="AL1419" s="9"/>
      <c r="AM1419" s="9"/>
      <c r="AP1419" s="9"/>
      <c r="AQ1419" s="9"/>
      <c r="AT1419" s="9"/>
      <c r="AU1419" s="9"/>
      <c r="AX1419" s="9"/>
      <c r="AY1419" s="9"/>
    </row>
    <row r="1420" spans="17:51" ht="12.75">
      <c r="Q1420" s="28"/>
      <c r="Y1420" s="28"/>
      <c r="AE1420" s="59"/>
      <c r="AH1420" s="9"/>
      <c r="AI1420" s="9"/>
      <c r="AL1420" s="9"/>
      <c r="AM1420" s="9"/>
      <c r="AP1420" s="9"/>
      <c r="AQ1420" s="9"/>
      <c r="AT1420" s="9"/>
      <c r="AU1420" s="9"/>
      <c r="AX1420" s="9"/>
      <c r="AY1420" s="9"/>
    </row>
    <row r="1421" spans="17:51" ht="12.75">
      <c r="Q1421" s="28"/>
      <c r="Y1421" s="28"/>
      <c r="AE1421" s="59"/>
      <c r="AH1421" s="9"/>
      <c r="AI1421" s="9"/>
      <c r="AL1421" s="9"/>
      <c r="AM1421" s="9"/>
      <c r="AP1421" s="9"/>
      <c r="AQ1421" s="9"/>
      <c r="AT1421" s="9"/>
      <c r="AU1421" s="9"/>
      <c r="AX1421" s="9"/>
      <c r="AY1421" s="9"/>
    </row>
    <row r="1422" spans="17:51" ht="12.75">
      <c r="Q1422" s="28"/>
      <c r="Y1422" s="28"/>
      <c r="AE1422" s="59"/>
      <c r="AH1422" s="9"/>
      <c r="AI1422" s="9"/>
      <c r="AL1422" s="9"/>
      <c r="AM1422" s="9"/>
      <c r="AP1422" s="9"/>
      <c r="AQ1422" s="9"/>
      <c r="AT1422" s="9"/>
      <c r="AU1422" s="9"/>
      <c r="AX1422" s="9"/>
      <c r="AY1422" s="9"/>
    </row>
    <row r="1423" spans="17:51" ht="12.75">
      <c r="Q1423" s="28"/>
      <c r="Y1423" s="28"/>
      <c r="AE1423" s="59"/>
      <c r="AH1423" s="9"/>
      <c r="AI1423" s="9"/>
      <c r="AL1423" s="9"/>
      <c r="AM1423" s="9"/>
      <c r="AP1423" s="9"/>
      <c r="AQ1423" s="9"/>
      <c r="AT1423" s="9"/>
      <c r="AU1423" s="9"/>
      <c r="AX1423" s="9"/>
      <c r="AY1423" s="9"/>
    </row>
    <row r="1424" spans="17:51" ht="12.75">
      <c r="Q1424" s="28"/>
      <c r="Y1424" s="28"/>
      <c r="AE1424" s="59"/>
      <c r="AH1424" s="9"/>
      <c r="AI1424" s="9"/>
      <c r="AL1424" s="9"/>
      <c r="AM1424" s="9"/>
      <c r="AP1424" s="9"/>
      <c r="AQ1424" s="9"/>
      <c r="AT1424" s="9"/>
      <c r="AU1424" s="9"/>
      <c r="AX1424" s="9"/>
      <c r="AY1424" s="9"/>
    </row>
    <row r="1425" spans="17:51" ht="12.75">
      <c r="Q1425" s="28"/>
      <c r="Y1425" s="28"/>
      <c r="AE1425" s="59"/>
      <c r="AH1425" s="9"/>
      <c r="AI1425" s="9"/>
      <c r="AL1425" s="9"/>
      <c r="AM1425" s="9"/>
      <c r="AP1425" s="9"/>
      <c r="AQ1425" s="9"/>
      <c r="AT1425" s="9"/>
      <c r="AU1425" s="9"/>
      <c r="AX1425" s="9"/>
      <c r="AY1425" s="9"/>
    </row>
    <row r="1426" spans="17:51" ht="12.75">
      <c r="Q1426" s="28"/>
      <c r="Y1426" s="28"/>
      <c r="AE1426" s="59"/>
      <c r="AH1426" s="9"/>
      <c r="AI1426" s="9"/>
      <c r="AL1426" s="9"/>
      <c r="AM1426" s="9"/>
      <c r="AP1426" s="9"/>
      <c r="AQ1426" s="9"/>
      <c r="AT1426" s="9"/>
      <c r="AU1426" s="9"/>
      <c r="AX1426" s="9"/>
      <c r="AY1426" s="9"/>
    </row>
    <row r="1427" spans="17:51" ht="12.75">
      <c r="Q1427" s="28"/>
      <c r="Y1427" s="28"/>
      <c r="AE1427" s="59"/>
      <c r="AH1427" s="9"/>
      <c r="AI1427" s="9"/>
      <c r="AL1427" s="9"/>
      <c r="AM1427" s="9"/>
      <c r="AP1427" s="9"/>
      <c r="AQ1427" s="9"/>
      <c r="AT1427" s="9"/>
      <c r="AU1427" s="9"/>
      <c r="AX1427" s="9"/>
      <c r="AY1427" s="9"/>
    </row>
    <row r="1428" spans="17:51" ht="12.75">
      <c r="Q1428" s="28"/>
      <c r="Y1428" s="28"/>
      <c r="AE1428" s="59"/>
      <c r="AH1428" s="9"/>
      <c r="AI1428" s="9"/>
      <c r="AL1428" s="9"/>
      <c r="AM1428" s="9"/>
      <c r="AP1428" s="9"/>
      <c r="AQ1428" s="9"/>
      <c r="AT1428" s="9"/>
      <c r="AU1428" s="9"/>
      <c r="AX1428" s="9"/>
      <c r="AY1428" s="9"/>
    </row>
    <row r="1429" spans="17:51" ht="12.75">
      <c r="Q1429" s="28"/>
      <c r="Y1429" s="28"/>
      <c r="AE1429" s="59"/>
      <c r="AH1429" s="9"/>
      <c r="AI1429" s="9"/>
      <c r="AL1429" s="9"/>
      <c r="AM1429" s="9"/>
      <c r="AP1429" s="9"/>
      <c r="AQ1429" s="9"/>
      <c r="AT1429" s="9"/>
      <c r="AU1429" s="9"/>
      <c r="AX1429" s="9"/>
      <c r="AY1429" s="9"/>
    </row>
    <row r="1430" spans="17:51" ht="12.75">
      <c r="Q1430" s="28"/>
      <c r="Y1430" s="28"/>
      <c r="AE1430" s="59"/>
      <c r="AH1430" s="9"/>
      <c r="AI1430" s="9"/>
      <c r="AL1430" s="9"/>
      <c r="AM1430" s="9"/>
      <c r="AP1430" s="9"/>
      <c r="AQ1430" s="9"/>
      <c r="AT1430" s="9"/>
      <c r="AU1430" s="9"/>
      <c r="AX1430" s="9"/>
      <c r="AY1430" s="9"/>
    </row>
    <row r="1431" spans="17:51" ht="12.75">
      <c r="Q1431" s="28"/>
      <c r="Y1431" s="28"/>
      <c r="AE1431" s="59"/>
      <c r="AH1431" s="9"/>
      <c r="AI1431" s="9"/>
      <c r="AL1431" s="9"/>
      <c r="AM1431" s="9"/>
      <c r="AP1431" s="9"/>
      <c r="AQ1431" s="9"/>
      <c r="AT1431" s="9"/>
      <c r="AU1431" s="9"/>
      <c r="AX1431" s="9"/>
      <c r="AY1431" s="9"/>
    </row>
    <row r="1432" spans="17:51" ht="12.75">
      <c r="Q1432" s="28"/>
      <c r="Y1432" s="28"/>
      <c r="AE1432" s="59"/>
      <c r="AH1432" s="9"/>
      <c r="AI1432" s="9"/>
      <c r="AL1432" s="9"/>
      <c r="AM1432" s="9"/>
      <c r="AP1432" s="9"/>
      <c r="AQ1432" s="9"/>
      <c r="AT1432" s="9"/>
      <c r="AU1432" s="9"/>
      <c r="AX1432" s="9"/>
      <c r="AY1432" s="9"/>
    </row>
    <row r="1433" spans="17:51" ht="12.75">
      <c r="Q1433" s="28"/>
      <c r="Y1433" s="28"/>
      <c r="AE1433" s="59"/>
      <c r="AH1433" s="9"/>
      <c r="AI1433" s="9"/>
      <c r="AL1433" s="9"/>
      <c r="AM1433" s="9"/>
      <c r="AP1433" s="9"/>
      <c r="AQ1433" s="9"/>
      <c r="AT1433" s="9"/>
      <c r="AU1433" s="9"/>
      <c r="AX1433" s="9"/>
      <c r="AY1433" s="9"/>
    </row>
    <row r="1434" spans="17:51" ht="12.75">
      <c r="Q1434" s="28"/>
      <c r="Y1434" s="28"/>
      <c r="AE1434" s="59"/>
      <c r="AH1434" s="9"/>
      <c r="AI1434" s="9"/>
      <c r="AL1434" s="9"/>
      <c r="AM1434" s="9"/>
      <c r="AP1434" s="9"/>
      <c r="AQ1434" s="9"/>
      <c r="AT1434" s="9"/>
      <c r="AU1434" s="9"/>
      <c r="AX1434" s="9"/>
      <c r="AY1434" s="9"/>
    </row>
    <row r="1435" spans="17:51" ht="12.75">
      <c r="Q1435" s="28"/>
      <c r="Y1435" s="28"/>
      <c r="AE1435" s="59"/>
      <c r="AH1435" s="9"/>
      <c r="AI1435" s="9"/>
      <c r="AL1435" s="9"/>
      <c r="AM1435" s="9"/>
      <c r="AP1435" s="9"/>
      <c r="AQ1435" s="9"/>
      <c r="AT1435" s="9"/>
      <c r="AU1435" s="9"/>
      <c r="AX1435" s="9"/>
      <c r="AY1435" s="9"/>
    </row>
    <row r="1436" spans="17:51" ht="12.75">
      <c r="Q1436" s="28"/>
      <c r="Y1436" s="28"/>
      <c r="AE1436" s="59"/>
      <c r="AH1436" s="9"/>
      <c r="AI1436" s="9"/>
      <c r="AL1436" s="9"/>
      <c r="AM1436" s="9"/>
      <c r="AP1436" s="9"/>
      <c r="AQ1436" s="9"/>
      <c r="AT1436" s="9"/>
      <c r="AU1436" s="9"/>
      <c r="AX1436" s="9"/>
      <c r="AY1436" s="9"/>
    </row>
    <row r="1437" spans="17:51" ht="12.75">
      <c r="Q1437" s="28"/>
      <c r="Y1437" s="28"/>
      <c r="AE1437" s="59"/>
      <c r="AH1437" s="9"/>
      <c r="AI1437" s="9"/>
      <c r="AL1437" s="9"/>
      <c r="AM1437" s="9"/>
      <c r="AP1437" s="9"/>
      <c r="AQ1437" s="9"/>
      <c r="AT1437" s="9"/>
      <c r="AU1437" s="9"/>
      <c r="AX1437" s="9"/>
      <c r="AY1437" s="9"/>
    </row>
    <row r="1438" spans="17:51" ht="12.75">
      <c r="Q1438" s="28"/>
      <c r="Y1438" s="28"/>
      <c r="AE1438" s="59"/>
      <c r="AH1438" s="9"/>
      <c r="AI1438" s="9"/>
      <c r="AL1438" s="9"/>
      <c r="AM1438" s="9"/>
      <c r="AP1438" s="9"/>
      <c r="AQ1438" s="9"/>
      <c r="AT1438" s="9"/>
      <c r="AU1438" s="9"/>
      <c r="AX1438" s="9"/>
      <c r="AY1438" s="9"/>
    </row>
    <row r="1439" spans="17:51" ht="12.75">
      <c r="Q1439" s="28"/>
      <c r="Y1439" s="28"/>
      <c r="AE1439" s="59"/>
      <c r="AH1439" s="9"/>
      <c r="AI1439" s="9"/>
      <c r="AL1439" s="9"/>
      <c r="AM1439" s="9"/>
      <c r="AP1439" s="9"/>
      <c r="AQ1439" s="9"/>
      <c r="AT1439" s="9"/>
      <c r="AU1439" s="9"/>
      <c r="AX1439" s="9"/>
      <c r="AY1439" s="9"/>
    </row>
    <row r="1440" spans="17:51" ht="12.75">
      <c r="Q1440" s="28"/>
      <c r="Y1440" s="28"/>
      <c r="AE1440" s="59"/>
      <c r="AH1440" s="9"/>
      <c r="AI1440" s="9"/>
      <c r="AL1440" s="9"/>
      <c r="AM1440" s="9"/>
      <c r="AP1440" s="9"/>
      <c r="AQ1440" s="9"/>
      <c r="AT1440" s="9"/>
      <c r="AU1440" s="9"/>
      <c r="AX1440" s="9"/>
      <c r="AY1440" s="9"/>
    </row>
    <row r="1441" spans="17:51" ht="12.75">
      <c r="Q1441" s="28"/>
      <c r="Y1441" s="28"/>
      <c r="AE1441" s="59"/>
      <c r="AH1441" s="9"/>
      <c r="AI1441" s="9"/>
      <c r="AL1441" s="9"/>
      <c r="AM1441" s="9"/>
      <c r="AP1441" s="9"/>
      <c r="AQ1441" s="9"/>
      <c r="AT1441" s="9"/>
      <c r="AU1441" s="9"/>
      <c r="AX1441" s="9"/>
      <c r="AY1441" s="9"/>
    </row>
    <row r="1442" spans="17:51" ht="12.75">
      <c r="Q1442" s="28"/>
      <c r="Y1442" s="28"/>
      <c r="AE1442" s="59"/>
      <c r="AH1442" s="9"/>
      <c r="AI1442" s="9"/>
      <c r="AL1442" s="9"/>
      <c r="AM1442" s="9"/>
      <c r="AP1442" s="9"/>
      <c r="AQ1442" s="9"/>
      <c r="AT1442" s="9"/>
      <c r="AU1442" s="9"/>
      <c r="AX1442" s="9"/>
      <c r="AY1442" s="9"/>
    </row>
    <row r="1443" spans="17:51" ht="12.75">
      <c r="Q1443" s="28"/>
      <c r="Y1443" s="28"/>
      <c r="AE1443" s="59"/>
      <c r="AH1443" s="9"/>
      <c r="AI1443" s="9"/>
      <c r="AL1443" s="9"/>
      <c r="AM1443" s="9"/>
      <c r="AP1443" s="9"/>
      <c r="AQ1443" s="9"/>
      <c r="AT1443" s="9"/>
      <c r="AU1443" s="9"/>
      <c r="AX1443" s="9"/>
      <c r="AY1443" s="9"/>
    </row>
    <row r="1444" spans="17:51" ht="12.75">
      <c r="Q1444" s="28"/>
      <c r="Y1444" s="28"/>
      <c r="AE1444" s="59"/>
      <c r="AH1444" s="9"/>
      <c r="AI1444" s="9"/>
      <c r="AL1444" s="9"/>
      <c r="AM1444" s="9"/>
      <c r="AP1444" s="9"/>
      <c r="AQ1444" s="9"/>
      <c r="AT1444" s="9"/>
      <c r="AU1444" s="9"/>
      <c r="AX1444" s="9"/>
      <c r="AY1444" s="9"/>
    </row>
    <row r="1445" spans="17:51" ht="12.75">
      <c r="Q1445" s="28"/>
      <c r="Y1445" s="28"/>
      <c r="AE1445" s="59"/>
      <c r="AH1445" s="9"/>
      <c r="AI1445" s="9"/>
      <c r="AL1445" s="9"/>
      <c r="AM1445" s="9"/>
      <c r="AP1445" s="9"/>
      <c r="AQ1445" s="9"/>
      <c r="AT1445" s="9"/>
      <c r="AU1445" s="9"/>
      <c r="AX1445" s="9"/>
      <c r="AY1445" s="9"/>
    </row>
    <row r="1446" spans="17:51" ht="12.75">
      <c r="Q1446" s="28"/>
      <c r="Y1446" s="28"/>
      <c r="AE1446" s="59"/>
      <c r="AH1446" s="9"/>
      <c r="AI1446" s="9"/>
      <c r="AL1446" s="9"/>
      <c r="AM1446" s="9"/>
      <c r="AP1446" s="9"/>
      <c r="AQ1446" s="9"/>
      <c r="AT1446" s="9"/>
      <c r="AU1446" s="9"/>
      <c r="AX1446" s="9"/>
      <c r="AY1446" s="9"/>
    </row>
    <row r="1447" spans="17:51" ht="12.75">
      <c r="Q1447" s="28"/>
      <c r="Y1447" s="28"/>
      <c r="AE1447" s="59"/>
      <c r="AH1447" s="9"/>
      <c r="AI1447" s="9"/>
      <c r="AL1447" s="9"/>
      <c r="AM1447" s="9"/>
      <c r="AP1447" s="9"/>
      <c r="AQ1447" s="9"/>
      <c r="AT1447" s="9"/>
      <c r="AU1447" s="9"/>
      <c r="AX1447" s="9"/>
      <c r="AY1447" s="9"/>
    </row>
    <row r="1448" spans="17:51" ht="12.75">
      <c r="Q1448" s="28"/>
      <c r="Y1448" s="28"/>
      <c r="AE1448" s="59"/>
      <c r="AH1448" s="9"/>
      <c r="AI1448" s="9"/>
      <c r="AL1448" s="9"/>
      <c r="AM1448" s="9"/>
      <c r="AP1448" s="9"/>
      <c r="AQ1448" s="9"/>
      <c r="AT1448" s="9"/>
      <c r="AU1448" s="9"/>
      <c r="AX1448" s="9"/>
      <c r="AY1448" s="9"/>
    </row>
    <row r="1449" spans="17:51" ht="12.75">
      <c r="Q1449" s="28"/>
      <c r="Y1449" s="28"/>
      <c r="AE1449" s="59"/>
      <c r="AH1449" s="9"/>
      <c r="AI1449" s="9"/>
      <c r="AL1449" s="9"/>
      <c r="AM1449" s="9"/>
      <c r="AP1449" s="9"/>
      <c r="AQ1449" s="9"/>
      <c r="AT1449" s="9"/>
      <c r="AU1449" s="9"/>
      <c r="AX1449" s="9"/>
      <c r="AY1449" s="9"/>
    </row>
    <row r="1450" spans="17:51" ht="12.75">
      <c r="Q1450" s="28"/>
      <c r="Y1450" s="28"/>
      <c r="AE1450" s="59"/>
      <c r="AH1450" s="9"/>
      <c r="AI1450" s="9"/>
      <c r="AL1450" s="9"/>
      <c r="AM1450" s="9"/>
      <c r="AP1450" s="9"/>
      <c r="AQ1450" s="9"/>
      <c r="AT1450" s="9"/>
      <c r="AU1450" s="9"/>
      <c r="AX1450" s="9"/>
      <c r="AY1450" s="9"/>
    </row>
    <row r="1451" spans="17:51" ht="12.75">
      <c r="Q1451" s="28"/>
      <c r="Y1451" s="28"/>
      <c r="AE1451" s="59"/>
      <c r="AH1451" s="9"/>
      <c r="AI1451" s="9"/>
      <c r="AL1451" s="9"/>
      <c r="AM1451" s="9"/>
      <c r="AP1451" s="9"/>
      <c r="AQ1451" s="9"/>
      <c r="AT1451" s="9"/>
      <c r="AU1451" s="9"/>
      <c r="AX1451" s="9"/>
      <c r="AY1451" s="9"/>
    </row>
    <row r="1452" spans="17:51" ht="12.75">
      <c r="Q1452" s="28"/>
      <c r="Y1452" s="28"/>
      <c r="AE1452" s="59"/>
      <c r="AH1452" s="9"/>
      <c r="AI1452" s="9"/>
      <c r="AL1452" s="9"/>
      <c r="AM1452" s="9"/>
      <c r="AP1452" s="9"/>
      <c r="AQ1452" s="9"/>
      <c r="AT1452" s="9"/>
      <c r="AU1452" s="9"/>
      <c r="AX1452" s="9"/>
      <c r="AY1452" s="9"/>
    </row>
    <row r="1453" spans="17:51" ht="12.75">
      <c r="Q1453" s="28"/>
      <c r="Y1453" s="28"/>
      <c r="AE1453" s="59"/>
      <c r="AH1453" s="9"/>
      <c r="AI1453" s="9"/>
      <c r="AL1453" s="9"/>
      <c r="AM1453" s="9"/>
      <c r="AP1453" s="9"/>
      <c r="AQ1453" s="9"/>
      <c r="AT1453" s="9"/>
      <c r="AU1453" s="9"/>
      <c r="AX1453" s="9"/>
      <c r="AY1453" s="9"/>
    </row>
    <row r="1454" spans="17:51" ht="12.75">
      <c r="Q1454" s="28"/>
      <c r="Y1454" s="28"/>
      <c r="AE1454" s="59"/>
      <c r="AH1454" s="9"/>
      <c r="AI1454" s="9"/>
      <c r="AL1454" s="9"/>
      <c r="AM1454" s="9"/>
      <c r="AP1454" s="9"/>
      <c r="AQ1454" s="9"/>
      <c r="AT1454" s="9"/>
      <c r="AU1454" s="9"/>
      <c r="AX1454" s="9"/>
      <c r="AY1454" s="9"/>
    </row>
    <row r="1455" spans="17:51" ht="12.75">
      <c r="Q1455" s="28"/>
      <c r="Y1455" s="28"/>
      <c r="AE1455" s="59"/>
      <c r="AH1455" s="9"/>
      <c r="AI1455" s="9"/>
      <c r="AL1455" s="9"/>
      <c r="AM1455" s="9"/>
      <c r="AP1455" s="9"/>
      <c r="AQ1455" s="9"/>
      <c r="AT1455" s="9"/>
      <c r="AU1455" s="9"/>
      <c r="AX1455" s="9"/>
      <c r="AY1455" s="9"/>
    </row>
    <row r="1456" spans="17:51" ht="12.75">
      <c r="Q1456" s="28"/>
      <c r="Y1456" s="28"/>
      <c r="AE1456" s="59"/>
      <c r="AH1456" s="9"/>
      <c r="AI1456" s="9"/>
      <c r="AL1456" s="9"/>
      <c r="AM1456" s="9"/>
      <c r="AP1456" s="9"/>
      <c r="AQ1456" s="9"/>
      <c r="AT1456" s="9"/>
      <c r="AU1456" s="9"/>
      <c r="AX1456" s="9"/>
      <c r="AY1456" s="9"/>
    </row>
    <row r="1457" spans="17:51" ht="12.75">
      <c r="Q1457" s="28"/>
      <c r="Y1457" s="28"/>
      <c r="AE1457" s="59"/>
      <c r="AH1457" s="9"/>
      <c r="AI1457" s="9"/>
      <c r="AL1457" s="9"/>
      <c r="AM1457" s="9"/>
      <c r="AP1457" s="9"/>
      <c r="AQ1457" s="9"/>
      <c r="AT1457" s="9"/>
      <c r="AU1457" s="9"/>
      <c r="AX1457" s="9"/>
      <c r="AY1457" s="9"/>
    </row>
    <row r="1458" spans="17:51" ht="12.75">
      <c r="Q1458" s="28"/>
      <c r="Y1458" s="28"/>
      <c r="AE1458" s="59"/>
      <c r="AH1458" s="9"/>
      <c r="AI1458" s="9"/>
      <c r="AL1458" s="9"/>
      <c r="AM1458" s="9"/>
      <c r="AP1458" s="9"/>
      <c r="AQ1458" s="9"/>
      <c r="AT1458" s="9"/>
      <c r="AU1458" s="9"/>
      <c r="AX1458" s="9"/>
      <c r="AY1458" s="9"/>
    </row>
    <row r="1459" spans="17:51" ht="12.75">
      <c r="Q1459" s="28"/>
      <c r="Y1459" s="28"/>
      <c r="AE1459" s="59"/>
      <c r="AH1459" s="9"/>
      <c r="AI1459" s="9"/>
      <c r="AL1459" s="9"/>
      <c r="AM1459" s="9"/>
      <c r="AP1459" s="9"/>
      <c r="AQ1459" s="9"/>
      <c r="AT1459" s="9"/>
      <c r="AU1459" s="9"/>
      <c r="AX1459" s="9"/>
      <c r="AY1459" s="9"/>
    </row>
    <row r="1460" spans="17:51" ht="12.75">
      <c r="Q1460" s="28"/>
      <c r="Y1460" s="28"/>
      <c r="AE1460" s="59"/>
      <c r="AH1460" s="9"/>
      <c r="AI1460" s="9"/>
      <c r="AL1460" s="9"/>
      <c r="AM1460" s="9"/>
      <c r="AP1460" s="9"/>
      <c r="AQ1460" s="9"/>
      <c r="AT1460" s="9"/>
      <c r="AU1460" s="9"/>
      <c r="AX1460" s="9"/>
      <c r="AY1460" s="9"/>
    </row>
    <row r="1461" spans="17:51" ht="12.75">
      <c r="Q1461" s="28"/>
      <c r="Y1461" s="28"/>
      <c r="AE1461" s="59"/>
      <c r="AH1461" s="9"/>
      <c r="AI1461" s="9"/>
      <c r="AL1461" s="9"/>
      <c r="AM1461" s="9"/>
      <c r="AP1461" s="9"/>
      <c r="AQ1461" s="9"/>
      <c r="AT1461" s="9"/>
      <c r="AU1461" s="9"/>
      <c r="AX1461" s="9"/>
      <c r="AY1461" s="9"/>
    </row>
    <row r="1462" spans="17:51" ht="12.75">
      <c r="Q1462" s="28"/>
      <c r="Y1462" s="28"/>
      <c r="AE1462" s="59"/>
      <c r="AH1462" s="9"/>
      <c r="AI1462" s="9"/>
      <c r="AL1462" s="9"/>
      <c r="AM1462" s="9"/>
      <c r="AP1462" s="9"/>
      <c r="AQ1462" s="9"/>
      <c r="AT1462" s="9"/>
      <c r="AU1462" s="9"/>
      <c r="AX1462" s="9"/>
      <c r="AY1462" s="9"/>
    </row>
    <row r="1463" spans="17:51" ht="12.75">
      <c r="Q1463" s="28"/>
      <c r="Y1463" s="28"/>
      <c r="AE1463" s="59"/>
      <c r="AH1463" s="9"/>
      <c r="AI1463" s="9"/>
      <c r="AL1463" s="9"/>
      <c r="AM1463" s="9"/>
      <c r="AP1463" s="9"/>
      <c r="AQ1463" s="9"/>
      <c r="AT1463" s="9"/>
      <c r="AU1463" s="9"/>
      <c r="AX1463" s="9"/>
      <c r="AY1463" s="9"/>
    </row>
    <row r="1464" spans="17:51" ht="12.75">
      <c r="Q1464" s="28"/>
      <c r="Y1464" s="28"/>
      <c r="AE1464" s="59"/>
      <c r="AH1464" s="9"/>
      <c r="AI1464" s="9"/>
      <c r="AL1464" s="9"/>
      <c r="AM1464" s="9"/>
      <c r="AP1464" s="9"/>
      <c r="AQ1464" s="9"/>
      <c r="AT1464" s="9"/>
      <c r="AU1464" s="9"/>
      <c r="AX1464" s="9"/>
      <c r="AY1464" s="9"/>
    </row>
    <row r="1465" spans="17:51" ht="12.75">
      <c r="Q1465" s="28"/>
      <c r="Y1465" s="28"/>
      <c r="AE1465" s="59"/>
      <c r="AH1465" s="9"/>
      <c r="AI1465" s="9"/>
      <c r="AL1465" s="9"/>
      <c r="AM1465" s="9"/>
      <c r="AP1465" s="9"/>
      <c r="AQ1465" s="9"/>
      <c r="AT1465" s="9"/>
      <c r="AU1465" s="9"/>
      <c r="AX1465" s="9"/>
      <c r="AY1465" s="9"/>
    </row>
    <row r="1466" spans="17:51" ht="12.75">
      <c r="Q1466" s="28"/>
      <c r="Y1466" s="28"/>
      <c r="AE1466" s="59"/>
      <c r="AH1466" s="9"/>
      <c r="AI1466" s="9"/>
      <c r="AL1466" s="9"/>
      <c r="AM1466" s="9"/>
      <c r="AP1466" s="9"/>
      <c r="AQ1466" s="9"/>
      <c r="AT1466" s="9"/>
      <c r="AU1466" s="9"/>
      <c r="AX1466" s="9"/>
      <c r="AY1466" s="9"/>
    </row>
    <row r="1467" spans="17:51" ht="12.75">
      <c r="Q1467" s="28"/>
      <c r="Y1467" s="28"/>
      <c r="AE1467" s="59"/>
      <c r="AH1467" s="9"/>
      <c r="AI1467" s="9"/>
      <c r="AL1467" s="9"/>
      <c r="AM1467" s="9"/>
      <c r="AP1467" s="9"/>
      <c r="AQ1467" s="9"/>
      <c r="AT1467" s="9"/>
      <c r="AU1467" s="9"/>
      <c r="AX1467" s="9"/>
      <c r="AY1467" s="9"/>
    </row>
    <row r="1468" spans="17:51" ht="12.75">
      <c r="Q1468" s="28"/>
      <c r="Y1468" s="28"/>
      <c r="AE1468" s="59"/>
      <c r="AH1468" s="9"/>
      <c r="AI1468" s="9"/>
      <c r="AL1468" s="9"/>
      <c r="AM1468" s="9"/>
      <c r="AP1468" s="9"/>
      <c r="AQ1468" s="9"/>
      <c r="AT1468" s="9"/>
      <c r="AU1468" s="9"/>
      <c r="AX1468" s="9"/>
      <c r="AY1468" s="9"/>
    </row>
    <row r="1469" spans="17:51" ht="12.75">
      <c r="Q1469" s="28"/>
      <c r="Y1469" s="28"/>
      <c r="AE1469" s="59"/>
      <c r="AH1469" s="9"/>
      <c r="AI1469" s="9"/>
      <c r="AL1469" s="9"/>
      <c r="AM1469" s="9"/>
      <c r="AP1469" s="9"/>
      <c r="AQ1469" s="9"/>
      <c r="AT1469" s="9"/>
      <c r="AU1469" s="9"/>
      <c r="AX1469" s="9"/>
      <c r="AY1469" s="9"/>
    </row>
    <row r="1470" spans="17:51" ht="12.75">
      <c r="Q1470" s="28"/>
      <c r="Y1470" s="28"/>
      <c r="AE1470" s="59"/>
      <c r="AH1470" s="9"/>
      <c r="AI1470" s="9"/>
      <c r="AL1470" s="9"/>
      <c r="AM1470" s="9"/>
      <c r="AP1470" s="9"/>
      <c r="AQ1470" s="9"/>
      <c r="AT1470" s="9"/>
      <c r="AU1470" s="9"/>
      <c r="AX1470" s="9"/>
      <c r="AY1470" s="9"/>
    </row>
    <row r="1471" spans="17:51" ht="12.75">
      <c r="Q1471" s="28"/>
      <c r="Y1471" s="28"/>
      <c r="AE1471" s="59"/>
      <c r="AH1471" s="9"/>
      <c r="AI1471" s="9"/>
      <c r="AL1471" s="9"/>
      <c r="AM1471" s="9"/>
      <c r="AP1471" s="9"/>
      <c r="AQ1471" s="9"/>
      <c r="AT1471" s="9"/>
      <c r="AU1471" s="9"/>
      <c r="AX1471" s="9"/>
      <c r="AY1471" s="9"/>
    </row>
    <row r="1472" spans="17:51" ht="12.75">
      <c r="Q1472" s="28"/>
      <c r="Y1472" s="28"/>
      <c r="AE1472" s="59"/>
      <c r="AH1472" s="9"/>
      <c r="AI1472" s="9"/>
      <c r="AL1472" s="9"/>
      <c r="AM1472" s="9"/>
      <c r="AP1472" s="9"/>
      <c r="AQ1472" s="9"/>
      <c r="AT1472" s="9"/>
      <c r="AU1472" s="9"/>
      <c r="AX1472" s="9"/>
      <c r="AY1472" s="9"/>
    </row>
    <row r="1473" spans="17:51" ht="12.75">
      <c r="Q1473" s="28"/>
      <c r="Y1473" s="28"/>
      <c r="AE1473" s="59"/>
      <c r="AH1473" s="9"/>
      <c r="AI1473" s="9"/>
      <c r="AL1473" s="9"/>
      <c r="AM1473" s="9"/>
      <c r="AP1473" s="9"/>
      <c r="AQ1473" s="9"/>
      <c r="AT1473" s="9"/>
      <c r="AU1473" s="9"/>
      <c r="AX1473" s="9"/>
      <c r="AY1473" s="9"/>
    </row>
    <row r="1474" spans="17:51" ht="12.75">
      <c r="Q1474" s="28"/>
      <c r="Y1474" s="28"/>
      <c r="AE1474" s="59"/>
      <c r="AH1474" s="9"/>
      <c r="AI1474" s="9"/>
      <c r="AL1474" s="9"/>
      <c r="AM1474" s="9"/>
      <c r="AP1474" s="9"/>
      <c r="AQ1474" s="9"/>
      <c r="AT1474" s="9"/>
      <c r="AU1474" s="9"/>
      <c r="AX1474" s="9"/>
      <c r="AY1474" s="9"/>
    </row>
    <row r="1475" spans="17:51" ht="12.75">
      <c r="Q1475" s="28"/>
      <c r="Y1475" s="28"/>
      <c r="AE1475" s="59"/>
      <c r="AH1475" s="9"/>
      <c r="AI1475" s="9"/>
      <c r="AL1475" s="9"/>
      <c r="AM1475" s="9"/>
      <c r="AP1475" s="9"/>
      <c r="AQ1475" s="9"/>
      <c r="AT1475" s="9"/>
      <c r="AU1475" s="9"/>
      <c r="AX1475" s="9"/>
      <c r="AY1475" s="9"/>
    </row>
    <row r="1476" spans="17:51" ht="12.75">
      <c r="Q1476" s="28"/>
      <c r="Y1476" s="28"/>
      <c r="AE1476" s="59"/>
      <c r="AH1476" s="9"/>
      <c r="AI1476" s="9"/>
      <c r="AL1476" s="9"/>
      <c r="AM1476" s="9"/>
      <c r="AP1476" s="9"/>
      <c r="AQ1476" s="9"/>
      <c r="AT1476" s="9"/>
      <c r="AU1476" s="9"/>
      <c r="AX1476" s="9"/>
      <c r="AY1476" s="9"/>
    </row>
    <row r="1477" spans="17:51" ht="12.75">
      <c r="Q1477" s="28"/>
      <c r="Y1477" s="28"/>
      <c r="AE1477" s="59"/>
      <c r="AH1477" s="9"/>
      <c r="AI1477" s="9"/>
      <c r="AL1477" s="9"/>
      <c r="AM1477" s="9"/>
      <c r="AP1477" s="9"/>
      <c r="AQ1477" s="9"/>
      <c r="AT1477" s="9"/>
      <c r="AU1477" s="9"/>
      <c r="AX1477" s="9"/>
      <c r="AY1477" s="9"/>
    </row>
    <row r="1478" spans="17:51" ht="12.75">
      <c r="Q1478" s="28"/>
      <c r="Y1478" s="28"/>
      <c r="AE1478" s="59"/>
      <c r="AH1478" s="9"/>
      <c r="AI1478" s="9"/>
      <c r="AL1478" s="9"/>
      <c r="AM1478" s="9"/>
      <c r="AP1478" s="9"/>
      <c r="AQ1478" s="9"/>
      <c r="AT1478" s="9"/>
      <c r="AU1478" s="9"/>
      <c r="AX1478" s="9"/>
      <c r="AY1478" s="9"/>
    </row>
    <row r="1479" spans="17:51" ht="12.75">
      <c r="Q1479" s="28"/>
      <c r="Y1479" s="28"/>
      <c r="AE1479" s="59"/>
      <c r="AH1479" s="9"/>
      <c r="AI1479" s="9"/>
      <c r="AL1479" s="9"/>
      <c r="AM1479" s="9"/>
      <c r="AP1479" s="9"/>
      <c r="AQ1479" s="9"/>
      <c r="AT1479" s="9"/>
      <c r="AU1479" s="9"/>
      <c r="AX1479" s="9"/>
      <c r="AY1479" s="9"/>
    </row>
    <row r="1480" spans="17:51" ht="12.75">
      <c r="Q1480" s="28"/>
      <c r="Y1480" s="28"/>
      <c r="AE1480" s="59"/>
      <c r="AH1480" s="9"/>
      <c r="AI1480" s="9"/>
      <c r="AL1480" s="9"/>
      <c r="AM1480" s="9"/>
      <c r="AP1480" s="9"/>
      <c r="AQ1480" s="9"/>
      <c r="AT1480" s="9"/>
      <c r="AU1480" s="9"/>
      <c r="AX1480" s="9"/>
      <c r="AY1480" s="9"/>
    </row>
    <row r="1481" spans="17:51" ht="12.75">
      <c r="Q1481" s="28"/>
      <c r="Y1481" s="28"/>
      <c r="AE1481" s="59"/>
      <c r="AH1481" s="9"/>
      <c r="AI1481" s="9"/>
      <c r="AL1481" s="9"/>
      <c r="AM1481" s="9"/>
      <c r="AP1481" s="9"/>
      <c r="AQ1481" s="9"/>
      <c r="AT1481" s="9"/>
      <c r="AU1481" s="9"/>
      <c r="AX1481" s="9"/>
      <c r="AY1481" s="9"/>
    </row>
    <row r="1482" spans="17:51" ht="12.75">
      <c r="Q1482" s="28"/>
      <c r="Y1482" s="28"/>
      <c r="AE1482" s="59"/>
      <c r="AH1482" s="9"/>
      <c r="AI1482" s="9"/>
      <c r="AL1482" s="9"/>
      <c r="AM1482" s="9"/>
      <c r="AP1482" s="9"/>
      <c r="AQ1482" s="9"/>
      <c r="AT1482" s="9"/>
      <c r="AU1482" s="9"/>
      <c r="AX1482" s="9"/>
      <c r="AY1482" s="9"/>
    </row>
    <row r="1483" spans="17:51" ht="12.75">
      <c r="Q1483" s="28"/>
      <c r="Y1483" s="28"/>
      <c r="AE1483" s="59"/>
      <c r="AH1483" s="9"/>
      <c r="AI1483" s="9"/>
      <c r="AL1483" s="9"/>
      <c r="AM1483" s="9"/>
      <c r="AP1483" s="9"/>
      <c r="AQ1483" s="9"/>
      <c r="AT1483" s="9"/>
      <c r="AU1483" s="9"/>
      <c r="AX1483" s="9"/>
      <c r="AY1483" s="9"/>
    </row>
    <row r="1484" spans="17:51" ht="12.75">
      <c r="Q1484" s="28"/>
      <c r="Y1484" s="28"/>
      <c r="AE1484" s="59"/>
      <c r="AH1484" s="9"/>
      <c r="AI1484" s="9"/>
      <c r="AL1484" s="9"/>
      <c r="AM1484" s="9"/>
      <c r="AP1484" s="9"/>
      <c r="AQ1484" s="9"/>
      <c r="AT1484" s="9"/>
      <c r="AU1484" s="9"/>
      <c r="AX1484" s="9"/>
      <c r="AY1484" s="9"/>
    </row>
    <row r="1485" spans="17:51" ht="12.75">
      <c r="Q1485" s="28"/>
      <c r="Y1485" s="28"/>
      <c r="AE1485" s="59"/>
      <c r="AH1485" s="9"/>
      <c r="AI1485" s="9"/>
      <c r="AL1485" s="9"/>
      <c r="AM1485" s="9"/>
      <c r="AP1485" s="9"/>
      <c r="AQ1485" s="9"/>
      <c r="AT1485" s="9"/>
      <c r="AU1485" s="9"/>
      <c r="AX1485" s="9"/>
      <c r="AY1485" s="9"/>
    </row>
    <row r="1486" spans="17:51" ht="12.75">
      <c r="Q1486" s="28"/>
      <c r="Y1486" s="28"/>
      <c r="AE1486" s="59"/>
      <c r="AH1486" s="9"/>
      <c r="AI1486" s="9"/>
      <c r="AL1486" s="9"/>
      <c r="AM1486" s="9"/>
      <c r="AP1486" s="9"/>
      <c r="AQ1486" s="9"/>
      <c r="AT1486" s="9"/>
      <c r="AU1486" s="9"/>
      <c r="AX1486" s="9"/>
      <c r="AY1486" s="9"/>
    </row>
    <row r="1487" spans="17:51" ht="12.75">
      <c r="Q1487" s="28"/>
      <c r="Y1487" s="28"/>
      <c r="AE1487" s="59"/>
      <c r="AH1487" s="9"/>
      <c r="AI1487" s="9"/>
      <c r="AL1487" s="9"/>
      <c r="AM1487" s="9"/>
      <c r="AP1487" s="9"/>
      <c r="AQ1487" s="9"/>
      <c r="AT1487" s="9"/>
      <c r="AU1487" s="9"/>
      <c r="AX1487" s="9"/>
      <c r="AY1487" s="9"/>
    </row>
    <row r="1488" spans="17:51" ht="12.75">
      <c r="Q1488" s="28"/>
      <c r="Y1488" s="28"/>
      <c r="AE1488" s="59"/>
      <c r="AH1488" s="9"/>
      <c r="AI1488" s="9"/>
      <c r="AL1488" s="9"/>
      <c r="AM1488" s="9"/>
      <c r="AP1488" s="9"/>
      <c r="AQ1488" s="9"/>
      <c r="AT1488" s="9"/>
      <c r="AU1488" s="9"/>
      <c r="AX1488" s="9"/>
      <c r="AY1488" s="9"/>
    </row>
    <row r="1489" spans="17:51" ht="12.75">
      <c r="Q1489" s="28"/>
      <c r="Y1489" s="28"/>
      <c r="AE1489" s="59"/>
      <c r="AH1489" s="9"/>
      <c r="AI1489" s="9"/>
      <c r="AL1489" s="9"/>
      <c r="AM1489" s="9"/>
      <c r="AP1489" s="9"/>
      <c r="AQ1489" s="9"/>
      <c r="AT1489" s="9"/>
      <c r="AU1489" s="9"/>
      <c r="AX1489" s="9"/>
      <c r="AY1489" s="9"/>
    </row>
    <row r="1490" spans="17:51" ht="12.75">
      <c r="Q1490" s="28"/>
      <c r="Y1490" s="28"/>
      <c r="AE1490" s="59"/>
      <c r="AH1490" s="9"/>
      <c r="AI1490" s="9"/>
      <c r="AL1490" s="9"/>
      <c r="AM1490" s="9"/>
      <c r="AP1490" s="9"/>
      <c r="AQ1490" s="9"/>
      <c r="AT1490" s="9"/>
      <c r="AU1490" s="9"/>
      <c r="AX1490" s="9"/>
      <c r="AY1490" s="9"/>
    </row>
    <row r="1491" spans="17:51" ht="12.75">
      <c r="Q1491" s="28"/>
      <c r="Y1491" s="28"/>
      <c r="AE1491" s="59"/>
      <c r="AH1491" s="9"/>
      <c r="AI1491" s="9"/>
      <c r="AL1491" s="9"/>
      <c r="AM1491" s="9"/>
      <c r="AP1491" s="9"/>
      <c r="AQ1491" s="9"/>
      <c r="AT1491" s="9"/>
      <c r="AU1491" s="9"/>
      <c r="AX1491" s="9"/>
      <c r="AY1491" s="9"/>
    </row>
    <row r="1492" spans="17:51" ht="12.75">
      <c r="Q1492" s="28"/>
      <c r="Y1492" s="28"/>
      <c r="AE1492" s="59"/>
      <c r="AH1492" s="9"/>
      <c r="AI1492" s="9"/>
      <c r="AL1492" s="9"/>
      <c r="AM1492" s="9"/>
      <c r="AP1492" s="9"/>
      <c r="AQ1492" s="9"/>
      <c r="AT1492" s="9"/>
      <c r="AU1492" s="9"/>
      <c r="AX1492" s="9"/>
      <c r="AY1492" s="9"/>
    </row>
    <row r="1493" spans="17:51" ht="12.75">
      <c r="Q1493" s="28"/>
      <c r="Y1493" s="28"/>
      <c r="AE1493" s="59"/>
      <c r="AH1493" s="9"/>
      <c r="AI1493" s="9"/>
      <c r="AL1493" s="9"/>
      <c r="AM1493" s="9"/>
      <c r="AP1493" s="9"/>
      <c r="AQ1493" s="9"/>
      <c r="AT1493" s="9"/>
      <c r="AU1493" s="9"/>
      <c r="AX1493" s="9"/>
      <c r="AY1493" s="9"/>
    </row>
    <row r="1494" spans="17:51" ht="12.75">
      <c r="Q1494" s="28"/>
      <c r="Y1494" s="28"/>
      <c r="AE1494" s="59"/>
      <c r="AH1494" s="9"/>
      <c r="AI1494" s="9"/>
      <c r="AL1494" s="9"/>
      <c r="AM1494" s="9"/>
      <c r="AP1494" s="9"/>
      <c r="AQ1494" s="9"/>
      <c r="AT1494" s="9"/>
      <c r="AU1494" s="9"/>
      <c r="AX1494" s="9"/>
      <c r="AY1494" s="9"/>
    </row>
    <row r="1495" spans="17:51" ht="12.75">
      <c r="Q1495" s="28"/>
      <c r="Y1495" s="28"/>
      <c r="AE1495" s="59"/>
      <c r="AH1495" s="9"/>
      <c r="AI1495" s="9"/>
      <c r="AL1495" s="9"/>
      <c r="AM1495" s="9"/>
      <c r="AP1495" s="9"/>
      <c r="AQ1495" s="9"/>
      <c r="AT1495" s="9"/>
      <c r="AU1495" s="9"/>
      <c r="AX1495" s="9"/>
      <c r="AY1495" s="9"/>
    </row>
    <row r="1496" spans="17:51" ht="12.75">
      <c r="Q1496" s="28"/>
      <c r="Y1496" s="28"/>
      <c r="AE1496" s="59"/>
      <c r="AH1496" s="9"/>
      <c r="AI1496" s="9"/>
      <c r="AL1496" s="9"/>
      <c r="AM1496" s="9"/>
      <c r="AP1496" s="9"/>
      <c r="AQ1496" s="9"/>
      <c r="AT1496" s="9"/>
      <c r="AU1496" s="9"/>
      <c r="AX1496" s="9"/>
      <c r="AY1496" s="9"/>
    </row>
    <row r="1497" spans="17:51" ht="12.75">
      <c r="Q1497" s="28"/>
      <c r="Y1497" s="28"/>
      <c r="AE1497" s="59"/>
      <c r="AH1497" s="9"/>
      <c r="AI1497" s="9"/>
      <c r="AL1497" s="9"/>
      <c r="AM1497" s="9"/>
      <c r="AP1497" s="9"/>
      <c r="AQ1497" s="9"/>
      <c r="AT1497" s="9"/>
      <c r="AU1497" s="9"/>
      <c r="AX1497" s="9"/>
      <c r="AY1497" s="9"/>
    </row>
    <row r="1498" spans="17:51" ht="12.75">
      <c r="Q1498" s="28"/>
      <c r="Y1498" s="28"/>
      <c r="AE1498" s="59"/>
      <c r="AH1498" s="9"/>
      <c r="AI1498" s="9"/>
      <c r="AL1498" s="9"/>
      <c r="AM1498" s="9"/>
      <c r="AP1498" s="9"/>
      <c r="AQ1498" s="9"/>
      <c r="AT1498" s="9"/>
      <c r="AU1498" s="9"/>
      <c r="AX1498" s="9"/>
      <c r="AY1498" s="9"/>
    </row>
    <row r="1499" spans="17:51" ht="12.75">
      <c r="Q1499" s="28"/>
      <c r="Y1499" s="28"/>
      <c r="AE1499" s="59"/>
      <c r="AH1499" s="9"/>
      <c r="AI1499" s="9"/>
      <c r="AL1499" s="9"/>
      <c r="AM1499" s="9"/>
      <c r="AP1499" s="9"/>
      <c r="AQ1499" s="9"/>
      <c r="AT1499" s="9"/>
      <c r="AU1499" s="9"/>
      <c r="AX1499" s="9"/>
      <c r="AY1499" s="9"/>
    </row>
    <row r="1500" spans="17:51" ht="12.75">
      <c r="Q1500" s="28"/>
      <c r="Y1500" s="28"/>
      <c r="AE1500" s="59"/>
      <c r="AH1500" s="9"/>
      <c r="AI1500" s="9"/>
      <c r="AL1500" s="9"/>
      <c r="AM1500" s="9"/>
      <c r="AP1500" s="9"/>
      <c r="AQ1500" s="9"/>
      <c r="AT1500" s="9"/>
      <c r="AU1500" s="9"/>
      <c r="AX1500" s="9"/>
      <c r="AY1500" s="9"/>
    </row>
    <row r="1501" spans="17:51" ht="12.75">
      <c r="Q1501" s="28"/>
      <c r="Y1501" s="28"/>
      <c r="AE1501" s="59"/>
      <c r="AH1501" s="9"/>
      <c r="AI1501" s="9"/>
      <c r="AL1501" s="9"/>
      <c r="AM1501" s="9"/>
      <c r="AP1501" s="9"/>
      <c r="AQ1501" s="9"/>
      <c r="AT1501" s="9"/>
      <c r="AU1501" s="9"/>
      <c r="AX1501" s="9"/>
      <c r="AY1501" s="9"/>
    </row>
    <row r="1502" spans="17:51" ht="12.75">
      <c r="Q1502" s="28"/>
      <c r="Y1502" s="28"/>
      <c r="AE1502" s="59"/>
      <c r="AH1502" s="9"/>
      <c r="AI1502" s="9"/>
      <c r="AL1502" s="9"/>
      <c r="AM1502" s="9"/>
      <c r="AP1502" s="9"/>
      <c r="AQ1502" s="9"/>
      <c r="AT1502" s="9"/>
      <c r="AU1502" s="9"/>
      <c r="AX1502" s="9"/>
      <c r="AY1502" s="9"/>
    </row>
    <row r="1503" spans="17:51" ht="12.75">
      <c r="Q1503" s="28"/>
      <c r="Y1503" s="28"/>
      <c r="AE1503" s="59"/>
      <c r="AH1503" s="9"/>
      <c r="AI1503" s="9"/>
      <c r="AL1503" s="9"/>
      <c r="AM1503" s="9"/>
      <c r="AP1503" s="9"/>
      <c r="AQ1503" s="9"/>
      <c r="AT1503" s="9"/>
      <c r="AU1503" s="9"/>
      <c r="AX1503" s="9"/>
      <c r="AY1503" s="9"/>
    </row>
    <row r="1504" spans="17:51" ht="12.75">
      <c r="Q1504" s="28"/>
      <c r="Y1504" s="28"/>
      <c r="AE1504" s="59"/>
      <c r="AH1504" s="9"/>
      <c r="AI1504" s="9"/>
      <c r="AL1504" s="9"/>
      <c r="AM1504" s="9"/>
      <c r="AP1504" s="9"/>
      <c r="AQ1504" s="9"/>
      <c r="AT1504" s="9"/>
      <c r="AU1504" s="9"/>
      <c r="AX1504" s="9"/>
      <c r="AY1504" s="9"/>
    </row>
    <row r="1505" spans="17:51" ht="12.75">
      <c r="Q1505" s="28"/>
      <c r="Y1505" s="28"/>
      <c r="AE1505" s="59"/>
      <c r="AH1505" s="9"/>
      <c r="AI1505" s="9"/>
      <c r="AL1505" s="9"/>
      <c r="AM1505" s="9"/>
      <c r="AP1505" s="9"/>
      <c r="AQ1505" s="9"/>
      <c r="AT1505" s="9"/>
      <c r="AU1505" s="9"/>
      <c r="AX1505" s="9"/>
      <c r="AY1505" s="9"/>
    </row>
    <row r="1506" spans="17:51" ht="12.75">
      <c r="Q1506" s="28"/>
      <c r="Y1506" s="28"/>
      <c r="AE1506" s="59"/>
      <c r="AH1506" s="9"/>
      <c r="AI1506" s="9"/>
      <c r="AL1506" s="9"/>
      <c r="AM1506" s="9"/>
      <c r="AP1506" s="9"/>
      <c r="AQ1506" s="9"/>
      <c r="AT1506" s="9"/>
      <c r="AU1506" s="9"/>
      <c r="AX1506" s="9"/>
      <c r="AY1506" s="9"/>
    </row>
    <row r="1507" spans="17:51" ht="12.75">
      <c r="Q1507" s="28"/>
      <c r="Y1507" s="28"/>
      <c r="AE1507" s="59"/>
      <c r="AH1507" s="9"/>
      <c r="AI1507" s="9"/>
      <c r="AL1507" s="9"/>
      <c r="AM1507" s="9"/>
      <c r="AP1507" s="9"/>
      <c r="AQ1507" s="9"/>
      <c r="AT1507" s="9"/>
      <c r="AU1507" s="9"/>
      <c r="AX1507" s="9"/>
      <c r="AY1507" s="9"/>
    </row>
    <row r="1508" spans="17:51" ht="12.75">
      <c r="Q1508" s="28"/>
      <c r="Y1508" s="28"/>
      <c r="AE1508" s="59"/>
      <c r="AH1508" s="9"/>
      <c r="AI1508" s="9"/>
      <c r="AL1508" s="9"/>
      <c r="AM1508" s="9"/>
      <c r="AP1508" s="9"/>
      <c r="AQ1508" s="9"/>
      <c r="AT1508" s="9"/>
      <c r="AU1508" s="9"/>
      <c r="AX1508" s="9"/>
      <c r="AY1508" s="9"/>
    </row>
    <row r="1509" spans="17:51" ht="12.75">
      <c r="Q1509" s="28"/>
      <c r="Y1509" s="28"/>
      <c r="AE1509" s="59"/>
      <c r="AH1509" s="9"/>
      <c r="AI1509" s="9"/>
      <c r="AL1509" s="9"/>
      <c r="AM1509" s="9"/>
      <c r="AP1509" s="9"/>
      <c r="AQ1509" s="9"/>
      <c r="AT1509" s="9"/>
      <c r="AU1509" s="9"/>
      <c r="AX1509" s="9"/>
      <c r="AY1509" s="9"/>
    </row>
    <row r="1510" spans="17:51" ht="12.75">
      <c r="Q1510" s="28"/>
      <c r="Y1510" s="28"/>
      <c r="AE1510" s="59"/>
      <c r="AH1510" s="9"/>
      <c r="AI1510" s="9"/>
      <c r="AL1510" s="9"/>
      <c r="AM1510" s="9"/>
      <c r="AP1510" s="9"/>
      <c r="AQ1510" s="9"/>
      <c r="AT1510" s="9"/>
      <c r="AU1510" s="9"/>
      <c r="AX1510" s="9"/>
      <c r="AY1510" s="9"/>
    </row>
    <row r="1511" spans="17:51" ht="12.75">
      <c r="Q1511" s="28"/>
      <c r="Y1511" s="28"/>
      <c r="AE1511" s="59"/>
      <c r="AH1511" s="9"/>
      <c r="AI1511" s="9"/>
      <c r="AL1511" s="9"/>
      <c r="AM1511" s="9"/>
      <c r="AP1511" s="9"/>
      <c r="AQ1511" s="9"/>
      <c r="AT1511" s="9"/>
      <c r="AU1511" s="9"/>
      <c r="AX1511" s="9"/>
      <c r="AY1511" s="9"/>
    </row>
    <row r="1512" spans="17:51" ht="12.75">
      <c r="Q1512" s="28"/>
      <c r="Y1512" s="28"/>
      <c r="AE1512" s="59"/>
      <c r="AH1512" s="9"/>
      <c r="AI1512" s="9"/>
      <c r="AL1512" s="9"/>
      <c r="AM1512" s="9"/>
      <c r="AP1512" s="9"/>
      <c r="AQ1512" s="9"/>
      <c r="AT1512" s="9"/>
      <c r="AU1512" s="9"/>
      <c r="AX1512" s="9"/>
      <c r="AY1512" s="9"/>
    </row>
    <row r="1513" spans="17:51" ht="12.75">
      <c r="Q1513" s="28"/>
      <c r="Y1513" s="28"/>
      <c r="AE1513" s="59"/>
      <c r="AH1513" s="9"/>
      <c r="AI1513" s="9"/>
      <c r="AL1513" s="9"/>
      <c r="AM1513" s="9"/>
      <c r="AP1513" s="9"/>
      <c r="AQ1513" s="9"/>
      <c r="AT1513" s="9"/>
      <c r="AU1513" s="9"/>
      <c r="AX1513" s="9"/>
      <c r="AY1513" s="9"/>
    </row>
    <row r="1514" spans="17:51" ht="12.75">
      <c r="Q1514" s="28"/>
      <c r="Y1514" s="28"/>
      <c r="AE1514" s="59"/>
      <c r="AH1514" s="9"/>
      <c r="AI1514" s="9"/>
      <c r="AL1514" s="9"/>
      <c r="AM1514" s="9"/>
      <c r="AP1514" s="9"/>
      <c r="AQ1514" s="9"/>
      <c r="AT1514" s="9"/>
      <c r="AU1514" s="9"/>
      <c r="AX1514" s="9"/>
      <c r="AY1514" s="9"/>
    </row>
    <row r="1515" spans="17:51" ht="12.75">
      <c r="Q1515" s="28"/>
      <c r="Y1515" s="28"/>
      <c r="AE1515" s="59"/>
      <c r="AH1515" s="9"/>
      <c r="AI1515" s="9"/>
      <c r="AL1515" s="9"/>
      <c r="AM1515" s="9"/>
      <c r="AP1515" s="9"/>
      <c r="AQ1515" s="9"/>
      <c r="AT1515" s="9"/>
      <c r="AU1515" s="9"/>
      <c r="AX1515" s="9"/>
      <c r="AY1515" s="9"/>
    </row>
    <row r="1516" spans="17:51" ht="12.75">
      <c r="Q1516" s="28"/>
      <c r="Y1516" s="28"/>
      <c r="AE1516" s="59"/>
      <c r="AH1516" s="9"/>
      <c r="AI1516" s="9"/>
      <c r="AL1516" s="9"/>
      <c r="AM1516" s="9"/>
      <c r="AP1516" s="9"/>
      <c r="AQ1516" s="9"/>
      <c r="AT1516" s="9"/>
      <c r="AU1516" s="9"/>
      <c r="AX1516" s="9"/>
      <c r="AY1516" s="9"/>
    </row>
    <row r="1517" spans="17:51" ht="12.75">
      <c r="Q1517" s="28"/>
      <c r="Y1517" s="28"/>
      <c r="AE1517" s="59"/>
      <c r="AH1517" s="9"/>
      <c r="AI1517" s="9"/>
      <c r="AL1517" s="9"/>
      <c r="AM1517" s="9"/>
      <c r="AP1517" s="9"/>
      <c r="AQ1517" s="9"/>
      <c r="AT1517" s="9"/>
      <c r="AU1517" s="9"/>
      <c r="AX1517" s="9"/>
      <c r="AY1517" s="9"/>
    </row>
    <row r="1518" spans="17:51" ht="12.75">
      <c r="Q1518" s="28"/>
      <c r="Y1518" s="28"/>
      <c r="AE1518" s="59"/>
      <c r="AH1518" s="9"/>
      <c r="AI1518" s="9"/>
      <c r="AL1518" s="9"/>
      <c r="AM1518" s="9"/>
      <c r="AP1518" s="9"/>
      <c r="AQ1518" s="9"/>
      <c r="AT1518" s="9"/>
      <c r="AU1518" s="9"/>
      <c r="AX1518" s="9"/>
      <c r="AY1518" s="9"/>
    </row>
    <row r="1519" spans="17:51" ht="12.75">
      <c r="Q1519" s="28"/>
      <c r="Y1519" s="28"/>
      <c r="AE1519" s="59"/>
      <c r="AH1519" s="9"/>
      <c r="AI1519" s="9"/>
      <c r="AL1519" s="9"/>
      <c r="AM1519" s="9"/>
      <c r="AP1519" s="9"/>
      <c r="AQ1519" s="9"/>
      <c r="AT1519" s="9"/>
      <c r="AU1519" s="9"/>
      <c r="AX1519" s="9"/>
      <c r="AY1519" s="9"/>
    </row>
    <row r="1520" spans="17:51" ht="12.75">
      <c r="Q1520" s="28"/>
      <c r="Y1520" s="28"/>
      <c r="AE1520" s="59"/>
      <c r="AH1520" s="9"/>
      <c r="AI1520" s="9"/>
      <c r="AL1520" s="9"/>
      <c r="AM1520" s="9"/>
      <c r="AP1520" s="9"/>
      <c r="AQ1520" s="9"/>
      <c r="AT1520" s="9"/>
      <c r="AU1520" s="9"/>
      <c r="AX1520" s="9"/>
      <c r="AY1520" s="9"/>
    </row>
    <row r="1521" spans="17:51" ht="12.75">
      <c r="Q1521" s="28"/>
      <c r="Y1521" s="28"/>
      <c r="AE1521" s="59"/>
      <c r="AH1521" s="9"/>
      <c r="AI1521" s="9"/>
      <c r="AL1521" s="9"/>
      <c r="AM1521" s="9"/>
      <c r="AP1521" s="9"/>
      <c r="AQ1521" s="9"/>
      <c r="AT1521" s="9"/>
      <c r="AU1521" s="9"/>
      <c r="AX1521" s="9"/>
      <c r="AY1521" s="9"/>
    </row>
    <row r="1522" spans="17:51" ht="12.75">
      <c r="Q1522" s="28"/>
      <c r="Y1522" s="28"/>
      <c r="AE1522" s="59"/>
      <c r="AH1522" s="9"/>
      <c r="AI1522" s="9"/>
      <c r="AL1522" s="9"/>
      <c r="AM1522" s="9"/>
      <c r="AP1522" s="9"/>
      <c r="AQ1522" s="9"/>
      <c r="AT1522" s="9"/>
      <c r="AU1522" s="9"/>
      <c r="AX1522" s="9"/>
      <c r="AY1522" s="9"/>
    </row>
    <row r="1523" spans="17:51" ht="12.75">
      <c r="Q1523" s="28"/>
      <c r="Y1523" s="28"/>
      <c r="AE1523" s="59"/>
      <c r="AH1523" s="9"/>
      <c r="AI1523" s="9"/>
      <c r="AL1523" s="9"/>
      <c r="AM1523" s="9"/>
      <c r="AP1523" s="9"/>
      <c r="AQ1523" s="9"/>
      <c r="AT1523" s="9"/>
      <c r="AU1523" s="9"/>
      <c r="AX1523" s="9"/>
      <c r="AY1523" s="9"/>
    </row>
    <row r="1524" spans="17:51" ht="12.75">
      <c r="Q1524" s="28"/>
      <c r="Y1524" s="28"/>
      <c r="AE1524" s="59"/>
      <c r="AH1524" s="9"/>
      <c r="AI1524" s="9"/>
      <c r="AL1524" s="9"/>
      <c r="AM1524" s="9"/>
      <c r="AP1524" s="9"/>
      <c r="AQ1524" s="9"/>
      <c r="AT1524" s="9"/>
      <c r="AU1524" s="9"/>
      <c r="AX1524" s="9"/>
      <c r="AY1524" s="9"/>
    </row>
    <row r="1525" spans="17:51" ht="12.75">
      <c r="Q1525" s="28"/>
      <c r="Y1525" s="28"/>
      <c r="AE1525" s="59"/>
      <c r="AH1525" s="9"/>
      <c r="AI1525" s="9"/>
      <c r="AL1525" s="9"/>
      <c r="AM1525" s="9"/>
      <c r="AP1525" s="9"/>
      <c r="AQ1525" s="9"/>
      <c r="AT1525" s="9"/>
      <c r="AU1525" s="9"/>
      <c r="AX1525" s="9"/>
      <c r="AY1525" s="9"/>
    </row>
    <row r="1526" spans="17:51" ht="12.75">
      <c r="Q1526" s="28"/>
      <c r="Y1526" s="28"/>
      <c r="AE1526" s="59"/>
      <c r="AH1526" s="9"/>
      <c r="AI1526" s="9"/>
      <c r="AL1526" s="9"/>
      <c r="AM1526" s="9"/>
      <c r="AP1526" s="9"/>
      <c r="AQ1526" s="9"/>
      <c r="AT1526" s="9"/>
      <c r="AU1526" s="9"/>
      <c r="AX1526" s="9"/>
      <c r="AY1526" s="9"/>
    </row>
    <row r="1527" spans="17:51" ht="12.75">
      <c r="Q1527" s="28"/>
      <c r="Y1527" s="28"/>
      <c r="AE1527" s="59"/>
      <c r="AH1527" s="9"/>
      <c r="AI1527" s="9"/>
      <c r="AL1527" s="9"/>
      <c r="AM1527" s="9"/>
      <c r="AP1527" s="9"/>
      <c r="AQ1527" s="9"/>
      <c r="AT1527" s="9"/>
      <c r="AU1527" s="9"/>
      <c r="AX1527" s="9"/>
      <c r="AY1527" s="9"/>
    </row>
    <row r="1528" spans="17:51" ht="12.75">
      <c r="Q1528" s="28"/>
      <c r="Y1528" s="28"/>
      <c r="AE1528" s="59"/>
      <c r="AH1528" s="9"/>
      <c r="AI1528" s="9"/>
      <c r="AL1528" s="9"/>
      <c r="AM1528" s="9"/>
      <c r="AP1528" s="9"/>
      <c r="AQ1528" s="9"/>
      <c r="AT1528" s="9"/>
      <c r="AU1528" s="9"/>
      <c r="AX1528" s="9"/>
      <c r="AY1528" s="9"/>
    </row>
    <row r="1529" spans="17:51" ht="12.75">
      <c r="Q1529" s="28"/>
      <c r="Y1529" s="28"/>
      <c r="AE1529" s="59"/>
      <c r="AH1529" s="9"/>
      <c r="AI1529" s="9"/>
      <c r="AL1529" s="9"/>
      <c r="AM1529" s="9"/>
      <c r="AP1529" s="9"/>
      <c r="AQ1529" s="9"/>
      <c r="AT1529" s="9"/>
      <c r="AU1529" s="9"/>
      <c r="AX1529" s="9"/>
      <c r="AY1529" s="9"/>
    </row>
    <row r="1530" spans="17:51" ht="12.75">
      <c r="Q1530" s="28"/>
      <c r="Y1530" s="28"/>
      <c r="AE1530" s="59"/>
      <c r="AH1530" s="9"/>
      <c r="AI1530" s="9"/>
      <c r="AL1530" s="9"/>
      <c r="AM1530" s="9"/>
      <c r="AP1530" s="9"/>
      <c r="AQ1530" s="9"/>
      <c r="AT1530" s="9"/>
      <c r="AU1530" s="9"/>
      <c r="AX1530" s="9"/>
      <c r="AY1530" s="9"/>
    </row>
    <row r="1531" spans="17:51" ht="12.75">
      <c r="Q1531" s="28"/>
      <c r="Y1531" s="28"/>
      <c r="AE1531" s="59"/>
      <c r="AH1531" s="9"/>
      <c r="AI1531" s="9"/>
      <c r="AL1531" s="9"/>
      <c r="AM1531" s="9"/>
      <c r="AP1531" s="9"/>
      <c r="AQ1531" s="9"/>
      <c r="AT1531" s="9"/>
      <c r="AU1531" s="9"/>
      <c r="AX1531" s="9"/>
      <c r="AY1531" s="9"/>
    </row>
    <row r="1532" spans="17:51" ht="12.75">
      <c r="Q1532" s="28"/>
      <c r="Y1532" s="28"/>
      <c r="AE1532" s="59"/>
      <c r="AH1532" s="9"/>
      <c r="AI1532" s="9"/>
      <c r="AL1532" s="9"/>
      <c r="AM1532" s="9"/>
      <c r="AP1532" s="9"/>
      <c r="AQ1532" s="9"/>
      <c r="AT1532" s="9"/>
      <c r="AU1532" s="9"/>
      <c r="AX1532" s="9"/>
      <c r="AY1532" s="9"/>
    </row>
    <row r="1533" spans="17:51" ht="12.75">
      <c r="Q1533" s="28"/>
      <c r="Y1533" s="28"/>
      <c r="AE1533" s="59"/>
      <c r="AH1533" s="9"/>
      <c r="AI1533" s="9"/>
      <c r="AL1533" s="9"/>
      <c r="AM1533" s="9"/>
      <c r="AP1533" s="9"/>
      <c r="AQ1533" s="9"/>
      <c r="AT1533" s="9"/>
      <c r="AU1533" s="9"/>
      <c r="AX1533" s="9"/>
      <c r="AY1533" s="9"/>
    </row>
    <row r="1534" spans="17:51" ht="12.75">
      <c r="Q1534" s="28"/>
      <c r="Y1534" s="28"/>
      <c r="AE1534" s="59"/>
      <c r="AH1534" s="9"/>
      <c r="AI1534" s="9"/>
      <c r="AL1534" s="9"/>
      <c r="AM1534" s="9"/>
      <c r="AP1534" s="9"/>
      <c r="AQ1534" s="9"/>
      <c r="AT1534" s="9"/>
      <c r="AU1534" s="9"/>
      <c r="AX1534" s="9"/>
      <c r="AY1534" s="9"/>
    </row>
    <row r="1535" spans="17:51" ht="12.75">
      <c r="Q1535" s="28"/>
      <c r="Y1535" s="28"/>
      <c r="AE1535" s="59"/>
      <c r="AH1535" s="9"/>
      <c r="AI1535" s="9"/>
      <c r="AL1535" s="9"/>
      <c r="AM1535" s="9"/>
      <c r="AP1535" s="9"/>
      <c r="AQ1535" s="9"/>
      <c r="AT1535" s="9"/>
      <c r="AU1535" s="9"/>
      <c r="AX1535" s="9"/>
      <c r="AY1535" s="9"/>
    </row>
    <row r="1536" spans="17:51" ht="12.75">
      <c r="Q1536" s="28"/>
      <c r="Y1536" s="28"/>
      <c r="AE1536" s="59"/>
      <c r="AH1536" s="9"/>
      <c r="AI1536" s="9"/>
      <c r="AL1536" s="9"/>
      <c r="AM1536" s="9"/>
      <c r="AP1536" s="9"/>
      <c r="AQ1536" s="9"/>
      <c r="AT1536" s="9"/>
      <c r="AU1536" s="9"/>
      <c r="AX1536" s="9"/>
      <c r="AY1536" s="9"/>
    </row>
    <row r="1537" spans="17:51" ht="12.75">
      <c r="Q1537" s="28"/>
      <c r="Y1537" s="28"/>
      <c r="AE1537" s="59"/>
      <c r="AH1537" s="9"/>
      <c r="AI1537" s="9"/>
      <c r="AL1537" s="9"/>
      <c r="AM1537" s="9"/>
      <c r="AP1537" s="9"/>
      <c r="AQ1537" s="9"/>
      <c r="AT1537" s="9"/>
      <c r="AU1537" s="9"/>
      <c r="AX1537" s="9"/>
      <c r="AY1537" s="9"/>
    </row>
    <row r="1538" spans="17:51" ht="12.75">
      <c r="Q1538" s="28"/>
      <c r="Y1538" s="28"/>
      <c r="AE1538" s="59"/>
      <c r="AH1538" s="9"/>
      <c r="AI1538" s="9"/>
      <c r="AL1538" s="9"/>
      <c r="AM1538" s="9"/>
      <c r="AP1538" s="9"/>
      <c r="AQ1538" s="9"/>
      <c r="AT1538" s="9"/>
      <c r="AU1538" s="9"/>
      <c r="AX1538" s="9"/>
      <c r="AY1538" s="9"/>
    </row>
    <row r="1539" spans="17:51" ht="12.75">
      <c r="Q1539" s="28"/>
      <c r="Y1539" s="28"/>
      <c r="AE1539" s="59"/>
      <c r="AH1539" s="9"/>
      <c r="AI1539" s="9"/>
      <c r="AL1539" s="9"/>
      <c r="AM1539" s="9"/>
      <c r="AP1539" s="9"/>
      <c r="AQ1539" s="9"/>
      <c r="AT1539" s="9"/>
      <c r="AU1539" s="9"/>
      <c r="AX1539" s="9"/>
      <c r="AY1539" s="9"/>
    </row>
    <row r="1540" spans="17:51" ht="12.75">
      <c r="Q1540" s="28"/>
      <c r="Y1540" s="28"/>
      <c r="AE1540" s="59"/>
      <c r="AH1540" s="9"/>
      <c r="AI1540" s="9"/>
      <c r="AL1540" s="9"/>
      <c r="AM1540" s="9"/>
      <c r="AP1540" s="9"/>
      <c r="AQ1540" s="9"/>
      <c r="AT1540" s="9"/>
      <c r="AU1540" s="9"/>
      <c r="AX1540" s="9"/>
      <c r="AY1540" s="9"/>
    </row>
    <row r="1541" spans="17:51" ht="12.75">
      <c r="Q1541" s="28"/>
      <c r="Y1541" s="28"/>
      <c r="AE1541" s="59"/>
      <c r="AH1541" s="9"/>
      <c r="AI1541" s="9"/>
      <c r="AL1541" s="9"/>
      <c r="AM1541" s="9"/>
      <c r="AP1541" s="9"/>
      <c r="AQ1541" s="9"/>
      <c r="AT1541" s="9"/>
      <c r="AU1541" s="9"/>
      <c r="AX1541" s="9"/>
      <c r="AY1541" s="9"/>
    </row>
    <row r="1542" spans="17:51" ht="12.75">
      <c r="Q1542" s="28"/>
      <c r="Y1542" s="28"/>
      <c r="AE1542" s="59"/>
      <c r="AH1542" s="9"/>
      <c r="AI1542" s="9"/>
      <c r="AL1542" s="9"/>
      <c r="AM1542" s="9"/>
      <c r="AP1542" s="9"/>
      <c r="AQ1542" s="9"/>
      <c r="AT1542" s="9"/>
      <c r="AU1542" s="9"/>
      <c r="AX1542" s="9"/>
      <c r="AY1542" s="9"/>
    </row>
    <row r="1543" spans="17:51" ht="12.75">
      <c r="Q1543" s="28"/>
      <c r="Y1543" s="28"/>
      <c r="AE1543" s="59"/>
      <c r="AH1543" s="9"/>
      <c r="AI1543" s="9"/>
      <c r="AL1543" s="9"/>
      <c r="AM1543" s="9"/>
      <c r="AP1543" s="9"/>
      <c r="AQ1543" s="9"/>
      <c r="AT1543" s="9"/>
      <c r="AU1543" s="9"/>
      <c r="AX1543" s="9"/>
      <c r="AY1543" s="9"/>
    </row>
    <row r="1544" spans="17:51" ht="12.75">
      <c r="Q1544" s="28"/>
      <c r="Y1544" s="28"/>
      <c r="AE1544" s="59"/>
      <c r="AH1544" s="9"/>
      <c r="AI1544" s="9"/>
      <c r="AL1544" s="9"/>
      <c r="AM1544" s="9"/>
      <c r="AP1544" s="9"/>
      <c r="AQ1544" s="9"/>
      <c r="AT1544" s="9"/>
      <c r="AU1544" s="9"/>
      <c r="AX1544" s="9"/>
      <c r="AY1544" s="9"/>
    </row>
    <row r="1545" spans="17:51" ht="12.75">
      <c r="Q1545" s="28"/>
      <c r="Y1545" s="28"/>
      <c r="AE1545" s="59"/>
      <c r="AH1545" s="9"/>
      <c r="AI1545" s="9"/>
      <c r="AL1545" s="9"/>
      <c r="AM1545" s="9"/>
      <c r="AP1545" s="9"/>
      <c r="AQ1545" s="9"/>
      <c r="AT1545" s="9"/>
      <c r="AU1545" s="9"/>
      <c r="AX1545" s="9"/>
      <c r="AY1545" s="9"/>
    </row>
    <row r="1546" spans="17:51" ht="12.75">
      <c r="Q1546" s="28"/>
      <c r="Y1546" s="28"/>
      <c r="AE1546" s="59"/>
      <c r="AH1546" s="9"/>
      <c r="AI1546" s="9"/>
      <c r="AL1546" s="9"/>
      <c r="AM1546" s="9"/>
      <c r="AP1546" s="9"/>
      <c r="AQ1546" s="9"/>
      <c r="AT1546" s="9"/>
      <c r="AU1546" s="9"/>
      <c r="AX1546" s="9"/>
      <c r="AY1546" s="9"/>
    </row>
    <row r="1547" spans="17:51" ht="12.75">
      <c r="Q1547" s="28"/>
      <c r="Y1547" s="28"/>
      <c r="AE1547" s="59"/>
      <c r="AH1547" s="9"/>
      <c r="AI1547" s="9"/>
      <c r="AL1547" s="9"/>
      <c r="AM1547" s="9"/>
      <c r="AP1547" s="9"/>
      <c r="AQ1547" s="9"/>
      <c r="AT1547" s="9"/>
      <c r="AU1547" s="9"/>
      <c r="AX1547" s="9"/>
      <c r="AY1547" s="9"/>
    </row>
    <row r="1548" spans="17:51" ht="12.75">
      <c r="Q1548" s="28"/>
      <c r="Y1548" s="28"/>
      <c r="AE1548" s="59"/>
      <c r="AH1548" s="9"/>
      <c r="AI1548" s="9"/>
      <c r="AL1548" s="9"/>
      <c r="AM1548" s="9"/>
      <c r="AP1548" s="9"/>
      <c r="AQ1548" s="9"/>
      <c r="AT1548" s="9"/>
      <c r="AU1548" s="9"/>
      <c r="AX1548" s="9"/>
      <c r="AY1548" s="9"/>
    </row>
    <row r="1549" spans="17:51" ht="12.75">
      <c r="Q1549" s="28"/>
      <c r="Y1549" s="28"/>
      <c r="AE1549" s="59"/>
      <c r="AH1549" s="9"/>
      <c r="AI1549" s="9"/>
      <c r="AL1549" s="9"/>
      <c r="AM1549" s="9"/>
      <c r="AP1549" s="9"/>
      <c r="AQ1549" s="9"/>
      <c r="AT1549" s="9"/>
      <c r="AU1549" s="9"/>
      <c r="AX1549" s="9"/>
      <c r="AY1549" s="9"/>
    </row>
    <row r="1550" spans="17:51" ht="12.75">
      <c r="Q1550" s="28"/>
      <c r="Y1550" s="28"/>
      <c r="AE1550" s="59"/>
      <c r="AH1550" s="9"/>
      <c r="AI1550" s="9"/>
      <c r="AL1550" s="9"/>
      <c r="AM1550" s="9"/>
      <c r="AP1550" s="9"/>
      <c r="AQ1550" s="9"/>
      <c r="AT1550" s="9"/>
      <c r="AU1550" s="9"/>
      <c r="AX1550" s="9"/>
      <c r="AY1550" s="9"/>
    </row>
    <row r="1551" spans="17:51" ht="12.75">
      <c r="Q1551" s="28"/>
      <c r="Y1551" s="28"/>
      <c r="AE1551" s="59"/>
      <c r="AH1551" s="9"/>
      <c r="AI1551" s="9"/>
      <c r="AL1551" s="9"/>
      <c r="AM1551" s="9"/>
      <c r="AP1551" s="9"/>
      <c r="AQ1551" s="9"/>
      <c r="AT1551" s="9"/>
      <c r="AU1551" s="9"/>
      <c r="AX1551" s="9"/>
      <c r="AY1551" s="9"/>
    </row>
    <row r="1552" spans="17:51" ht="12.75">
      <c r="Q1552" s="28"/>
      <c r="Y1552" s="28"/>
      <c r="AE1552" s="59"/>
      <c r="AH1552" s="9"/>
      <c r="AI1552" s="9"/>
      <c r="AL1552" s="9"/>
      <c r="AM1552" s="9"/>
      <c r="AP1552" s="9"/>
      <c r="AQ1552" s="9"/>
      <c r="AT1552" s="9"/>
      <c r="AU1552" s="9"/>
      <c r="AX1552" s="9"/>
      <c r="AY1552" s="9"/>
    </row>
    <row r="1553" spans="17:51" ht="12.75">
      <c r="Q1553" s="28"/>
      <c r="Y1553" s="28"/>
      <c r="AE1553" s="59"/>
      <c r="AH1553" s="9"/>
      <c r="AI1553" s="9"/>
      <c r="AL1553" s="9"/>
      <c r="AM1553" s="9"/>
      <c r="AP1553" s="9"/>
      <c r="AQ1553" s="9"/>
      <c r="AT1553" s="9"/>
      <c r="AU1553" s="9"/>
      <c r="AX1553" s="9"/>
      <c r="AY1553" s="9"/>
    </row>
    <row r="1554" spans="17:51" ht="12.75">
      <c r="Q1554" s="28"/>
      <c r="Y1554" s="28"/>
      <c r="AE1554" s="59"/>
      <c r="AH1554" s="9"/>
      <c r="AI1554" s="9"/>
      <c r="AL1554" s="9"/>
      <c r="AM1554" s="9"/>
      <c r="AP1554" s="9"/>
      <c r="AQ1554" s="9"/>
      <c r="AT1554" s="9"/>
      <c r="AU1554" s="9"/>
      <c r="AX1554" s="9"/>
      <c r="AY1554" s="9"/>
    </row>
    <row r="1555" spans="17:51" ht="12.75">
      <c r="Q1555" s="28"/>
      <c r="Y1555" s="28"/>
      <c r="AE1555" s="59"/>
      <c r="AH1555" s="9"/>
      <c r="AI1555" s="9"/>
      <c r="AL1555" s="9"/>
      <c r="AM1555" s="9"/>
      <c r="AP1555" s="9"/>
      <c r="AQ1555" s="9"/>
      <c r="AT1555" s="9"/>
      <c r="AU1555" s="9"/>
      <c r="AX1555" s="9"/>
      <c r="AY1555" s="9"/>
    </row>
    <row r="1556" spans="17:51" ht="12.75">
      <c r="Q1556" s="28"/>
      <c r="Y1556" s="28"/>
      <c r="AE1556" s="59"/>
      <c r="AH1556" s="9"/>
      <c r="AI1556" s="9"/>
      <c r="AL1556" s="9"/>
      <c r="AM1556" s="9"/>
      <c r="AP1556" s="9"/>
      <c r="AQ1556" s="9"/>
      <c r="AT1556" s="9"/>
      <c r="AU1556" s="9"/>
      <c r="AX1556" s="9"/>
      <c r="AY1556" s="9"/>
    </row>
    <row r="1557" spans="17:51" ht="12.75">
      <c r="Q1557" s="28"/>
      <c r="Y1557" s="28"/>
      <c r="AE1557" s="59"/>
      <c r="AH1557" s="9"/>
      <c r="AI1557" s="9"/>
      <c r="AL1557" s="9"/>
      <c r="AM1557" s="9"/>
      <c r="AP1557" s="9"/>
      <c r="AQ1557" s="9"/>
      <c r="AT1557" s="9"/>
      <c r="AU1557" s="9"/>
      <c r="AX1557" s="9"/>
      <c r="AY1557" s="9"/>
    </row>
    <row r="1558" spans="17:51" ht="12.75">
      <c r="Q1558" s="28"/>
      <c r="Y1558" s="28"/>
      <c r="AE1558" s="59"/>
      <c r="AH1558" s="9"/>
      <c r="AI1558" s="9"/>
      <c r="AL1558" s="9"/>
      <c r="AM1558" s="9"/>
      <c r="AP1558" s="9"/>
      <c r="AQ1558" s="9"/>
      <c r="AT1558" s="9"/>
      <c r="AU1558" s="9"/>
      <c r="AX1558" s="9"/>
      <c r="AY1558" s="9"/>
    </row>
    <row r="1559" spans="17:51" ht="12.75">
      <c r="Q1559" s="28"/>
      <c r="Y1559" s="28"/>
      <c r="AE1559" s="59"/>
      <c r="AH1559" s="9"/>
      <c r="AI1559" s="9"/>
      <c r="AL1559" s="9"/>
      <c r="AM1559" s="9"/>
      <c r="AP1559" s="9"/>
      <c r="AQ1559" s="9"/>
      <c r="AT1559" s="9"/>
      <c r="AU1559" s="9"/>
      <c r="AX1559" s="9"/>
      <c r="AY1559" s="9"/>
    </row>
    <row r="1560" spans="17:51" ht="12.75">
      <c r="Q1560" s="28"/>
      <c r="Y1560" s="28"/>
      <c r="AE1560" s="59"/>
      <c r="AH1560" s="9"/>
      <c r="AI1560" s="9"/>
      <c r="AL1560" s="9"/>
      <c r="AM1560" s="9"/>
      <c r="AP1560" s="9"/>
      <c r="AQ1560" s="9"/>
      <c r="AT1560" s="9"/>
      <c r="AU1560" s="9"/>
      <c r="AX1560" s="9"/>
      <c r="AY1560" s="9"/>
    </row>
    <row r="1561" spans="17:51" ht="12.75">
      <c r="Q1561" s="28"/>
      <c r="Y1561" s="28"/>
      <c r="AE1561" s="59"/>
      <c r="AH1561" s="9"/>
      <c r="AI1561" s="9"/>
      <c r="AL1561" s="9"/>
      <c r="AM1561" s="9"/>
      <c r="AP1561" s="9"/>
      <c r="AQ1561" s="9"/>
      <c r="AT1561" s="9"/>
      <c r="AU1561" s="9"/>
      <c r="AX1561" s="9"/>
      <c r="AY1561" s="9"/>
    </row>
    <row r="1562" spans="17:51" ht="12.75">
      <c r="Q1562" s="28"/>
      <c r="Y1562" s="28"/>
      <c r="AE1562" s="59"/>
      <c r="AH1562" s="9"/>
      <c r="AI1562" s="9"/>
      <c r="AL1562" s="9"/>
      <c r="AM1562" s="9"/>
      <c r="AP1562" s="9"/>
      <c r="AQ1562" s="9"/>
      <c r="AT1562" s="9"/>
      <c r="AU1562" s="9"/>
      <c r="AX1562" s="9"/>
      <c r="AY1562" s="9"/>
    </row>
    <row r="1563" spans="17:51" ht="12.75">
      <c r="Q1563" s="28"/>
      <c r="Y1563" s="28"/>
      <c r="AE1563" s="59"/>
      <c r="AH1563" s="9"/>
      <c r="AI1563" s="9"/>
      <c r="AL1563" s="9"/>
      <c r="AM1563" s="9"/>
      <c r="AP1563" s="9"/>
      <c r="AQ1563" s="9"/>
      <c r="AT1563" s="9"/>
      <c r="AU1563" s="9"/>
      <c r="AX1563" s="9"/>
      <c r="AY1563" s="9"/>
    </row>
    <row r="1564" spans="17:51" ht="12.75">
      <c r="Q1564" s="28"/>
      <c r="Y1564" s="28"/>
      <c r="AE1564" s="59"/>
      <c r="AH1564" s="9"/>
      <c r="AI1564" s="9"/>
      <c r="AL1564" s="9"/>
      <c r="AM1564" s="9"/>
      <c r="AP1564" s="9"/>
      <c r="AQ1564" s="9"/>
      <c r="AT1564" s="9"/>
      <c r="AU1564" s="9"/>
      <c r="AX1564" s="9"/>
      <c r="AY1564" s="9"/>
    </row>
    <row r="1565" spans="17:51" ht="12.75">
      <c r="Q1565" s="28"/>
      <c r="Y1565" s="28"/>
      <c r="AE1565" s="59"/>
      <c r="AH1565" s="9"/>
      <c r="AI1565" s="9"/>
      <c r="AL1565" s="9"/>
      <c r="AM1565" s="9"/>
      <c r="AP1565" s="9"/>
      <c r="AQ1565" s="9"/>
      <c r="AT1565" s="9"/>
      <c r="AU1565" s="9"/>
      <c r="AX1565" s="9"/>
      <c r="AY1565" s="9"/>
    </row>
    <row r="1566" spans="17:51" ht="12.75">
      <c r="Q1566" s="28"/>
      <c r="Y1566" s="28"/>
      <c r="AE1566" s="59"/>
      <c r="AH1566" s="9"/>
      <c r="AI1566" s="9"/>
      <c r="AL1566" s="9"/>
      <c r="AM1566" s="9"/>
      <c r="AP1566" s="9"/>
      <c r="AQ1566" s="9"/>
      <c r="AT1566" s="9"/>
      <c r="AU1566" s="9"/>
      <c r="AX1566" s="9"/>
      <c r="AY1566" s="9"/>
    </row>
    <row r="1567" spans="17:51" ht="12.75">
      <c r="Q1567" s="28"/>
      <c r="Y1567" s="28"/>
      <c r="AE1567" s="59"/>
      <c r="AH1567" s="9"/>
      <c r="AI1567" s="9"/>
      <c r="AL1567" s="9"/>
      <c r="AM1567" s="9"/>
      <c r="AP1567" s="9"/>
      <c r="AQ1567" s="9"/>
      <c r="AT1567" s="9"/>
      <c r="AU1567" s="9"/>
      <c r="AX1567" s="9"/>
      <c r="AY1567" s="9"/>
    </row>
    <row r="1568" spans="17:51" ht="12.75">
      <c r="Q1568" s="28"/>
      <c r="Y1568" s="28"/>
      <c r="AE1568" s="59"/>
      <c r="AH1568" s="9"/>
      <c r="AI1568" s="9"/>
      <c r="AL1568" s="9"/>
      <c r="AM1568" s="9"/>
      <c r="AP1568" s="9"/>
      <c r="AQ1568" s="9"/>
      <c r="AT1568" s="9"/>
      <c r="AU1568" s="9"/>
      <c r="AX1568" s="9"/>
      <c r="AY1568" s="9"/>
    </row>
    <row r="1569" spans="17:51" ht="12.75">
      <c r="Q1569" s="28"/>
      <c r="Y1569" s="28"/>
      <c r="AE1569" s="59"/>
      <c r="AH1569" s="9"/>
      <c r="AI1569" s="9"/>
      <c r="AL1569" s="9"/>
      <c r="AM1569" s="9"/>
      <c r="AP1569" s="9"/>
      <c r="AQ1569" s="9"/>
      <c r="AT1569" s="9"/>
      <c r="AU1569" s="9"/>
      <c r="AX1569" s="9"/>
      <c r="AY1569" s="9"/>
    </row>
    <row r="1570" spans="17:51" ht="12.75">
      <c r="Q1570" s="28"/>
      <c r="Y1570" s="28"/>
      <c r="AE1570" s="59"/>
      <c r="AH1570" s="9"/>
      <c r="AI1570" s="9"/>
      <c r="AL1570" s="9"/>
      <c r="AM1570" s="9"/>
      <c r="AP1570" s="9"/>
      <c r="AQ1570" s="9"/>
      <c r="AT1570" s="9"/>
      <c r="AU1570" s="9"/>
      <c r="AX1570" s="9"/>
      <c r="AY1570" s="9"/>
    </row>
    <row r="1571" spans="17:51" ht="12.75">
      <c r="Q1571" s="28"/>
      <c r="Y1571" s="28"/>
      <c r="AE1571" s="59"/>
      <c r="AH1571" s="9"/>
      <c r="AI1571" s="9"/>
      <c r="AL1571" s="9"/>
      <c r="AM1571" s="9"/>
      <c r="AP1571" s="9"/>
      <c r="AQ1571" s="9"/>
      <c r="AT1571" s="9"/>
      <c r="AU1571" s="9"/>
      <c r="AX1571" s="9"/>
      <c r="AY1571" s="9"/>
    </row>
    <row r="1572" spans="17:51" ht="12.75">
      <c r="Q1572" s="28"/>
      <c r="Y1572" s="28"/>
      <c r="AE1572" s="59"/>
      <c r="AH1572" s="9"/>
      <c r="AI1572" s="9"/>
      <c r="AL1572" s="9"/>
      <c r="AM1572" s="9"/>
      <c r="AP1572" s="9"/>
      <c r="AQ1572" s="9"/>
      <c r="AT1572" s="9"/>
      <c r="AU1572" s="9"/>
      <c r="AX1572" s="9"/>
      <c r="AY1572" s="9"/>
    </row>
    <row r="1573" spans="17:51" ht="12.75">
      <c r="Q1573" s="28"/>
      <c r="Y1573" s="28"/>
      <c r="AE1573" s="59"/>
      <c r="AH1573" s="9"/>
      <c r="AI1573" s="9"/>
      <c r="AL1573" s="9"/>
      <c r="AM1573" s="9"/>
      <c r="AP1573" s="9"/>
      <c r="AQ1573" s="9"/>
      <c r="AT1573" s="9"/>
      <c r="AU1573" s="9"/>
      <c r="AX1573" s="9"/>
      <c r="AY1573" s="9"/>
    </row>
    <row r="1574" spans="17:51" ht="12.75">
      <c r="Q1574" s="28"/>
      <c r="Y1574" s="28"/>
      <c r="AE1574" s="59"/>
      <c r="AH1574" s="9"/>
      <c r="AI1574" s="9"/>
      <c r="AL1574" s="9"/>
      <c r="AM1574" s="9"/>
      <c r="AP1574" s="9"/>
      <c r="AQ1574" s="9"/>
      <c r="AT1574" s="9"/>
      <c r="AU1574" s="9"/>
      <c r="AX1574" s="9"/>
      <c r="AY1574" s="9"/>
    </row>
    <row r="1575" spans="17:51" ht="12.75">
      <c r="Q1575" s="28"/>
      <c r="Y1575" s="28"/>
      <c r="AE1575" s="59"/>
      <c r="AH1575" s="9"/>
      <c r="AI1575" s="9"/>
      <c r="AL1575" s="9"/>
      <c r="AM1575" s="9"/>
      <c r="AP1575" s="9"/>
      <c r="AQ1575" s="9"/>
      <c r="AT1575" s="9"/>
      <c r="AU1575" s="9"/>
      <c r="AX1575" s="9"/>
      <c r="AY1575" s="9"/>
    </row>
    <row r="1576" spans="17:51" ht="12.75">
      <c r="Q1576" s="28"/>
      <c r="Y1576" s="28"/>
      <c r="AE1576" s="59"/>
      <c r="AH1576" s="9"/>
      <c r="AI1576" s="9"/>
      <c r="AL1576" s="9"/>
      <c r="AM1576" s="9"/>
      <c r="AP1576" s="9"/>
      <c r="AQ1576" s="9"/>
      <c r="AT1576" s="9"/>
      <c r="AU1576" s="9"/>
      <c r="AX1576" s="9"/>
      <c r="AY1576" s="9"/>
    </row>
    <row r="1577" spans="17:51" ht="12.75">
      <c r="Q1577" s="28"/>
      <c r="Y1577" s="28"/>
      <c r="AE1577" s="59"/>
      <c r="AH1577" s="9"/>
      <c r="AI1577" s="9"/>
      <c r="AL1577" s="9"/>
      <c r="AM1577" s="9"/>
      <c r="AP1577" s="9"/>
      <c r="AQ1577" s="9"/>
      <c r="AT1577" s="9"/>
      <c r="AU1577" s="9"/>
      <c r="AX1577" s="9"/>
      <c r="AY1577" s="9"/>
    </row>
    <row r="1578" spans="17:51" ht="12.75">
      <c r="Q1578" s="28"/>
      <c r="Y1578" s="28"/>
      <c r="AE1578" s="59"/>
      <c r="AH1578" s="9"/>
      <c r="AI1578" s="9"/>
      <c r="AL1578" s="9"/>
      <c r="AM1578" s="9"/>
      <c r="AP1578" s="9"/>
      <c r="AQ1578" s="9"/>
      <c r="AT1578" s="9"/>
      <c r="AU1578" s="9"/>
      <c r="AX1578" s="9"/>
      <c r="AY1578" s="9"/>
    </row>
    <row r="1579" spans="17:51" ht="12.75">
      <c r="Q1579" s="28"/>
      <c r="Y1579" s="28"/>
      <c r="AE1579" s="59"/>
      <c r="AH1579" s="9"/>
      <c r="AI1579" s="9"/>
      <c r="AL1579" s="9"/>
      <c r="AM1579" s="9"/>
      <c r="AP1579" s="9"/>
      <c r="AQ1579" s="9"/>
      <c r="AT1579" s="9"/>
      <c r="AU1579" s="9"/>
      <c r="AX1579" s="9"/>
      <c r="AY1579" s="9"/>
    </row>
    <row r="1580" spans="17:51" ht="12.75">
      <c r="Q1580" s="28"/>
      <c r="Y1580" s="28"/>
      <c r="AE1580" s="59"/>
      <c r="AH1580" s="9"/>
      <c r="AI1580" s="9"/>
      <c r="AL1580" s="9"/>
      <c r="AM1580" s="9"/>
      <c r="AP1580" s="9"/>
      <c r="AQ1580" s="9"/>
      <c r="AT1580" s="9"/>
      <c r="AU1580" s="9"/>
      <c r="AX1580" s="9"/>
      <c r="AY1580" s="9"/>
    </row>
    <row r="1581" spans="17:51" ht="12.75">
      <c r="Q1581" s="28"/>
      <c r="Y1581" s="28"/>
      <c r="AE1581" s="59"/>
      <c r="AH1581" s="9"/>
      <c r="AI1581" s="9"/>
      <c r="AL1581" s="9"/>
      <c r="AM1581" s="9"/>
      <c r="AP1581" s="9"/>
      <c r="AQ1581" s="9"/>
      <c r="AT1581" s="9"/>
      <c r="AU1581" s="9"/>
      <c r="AX1581" s="9"/>
      <c r="AY1581" s="9"/>
    </row>
    <row r="1582" spans="17:51" ht="12.75">
      <c r="Q1582" s="28"/>
      <c r="Y1582" s="28"/>
      <c r="AE1582" s="59"/>
      <c r="AH1582" s="9"/>
      <c r="AI1582" s="9"/>
      <c r="AL1582" s="9"/>
      <c r="AM1582" s="9"/>
      <c r="AP1582" s="9"/>
      <c r="AQ1582" s="9"/>
      <c r="AT1582" s="9"/>
      <c r="AU1582" s="9"/>
      <c r="AX1582" s="9"/>
      <c r="AY1582" s="9"/>
    </row>
    <row r="1583" spans="17:51" ht="12.75">
      <c r="Q1583" s="28"/>
      <c r="Y1583" s="28"/>
      <c r="AE1583" s="59"/>
      <c r="AH1583" s="9"/>
      <c r="AI1583" s="9"/>
      <c r="AL1583" s="9"/>
      <c r="AM1583" s="9"/>
      <c r="AP1583" s="9"/>
      <c r="AQ1583" s="9"/>
      <c r="AT1583" s="9"/>
      <c r="AU1583" s="9"/>
      <c r="AX1583" s="9"/>
      <c r="AY1583" s="9"/>
    </row>
    <row r="1584" spans="17:51" ht="12.75">
      <c r="Q1584" s="28"/>
      <c r="Y1584" s="28"/>
      <c r="AE1584" s="59"/>
      <c r="AH1584" s="9"/>
      <c r="AI1584" s="9"/>
      <c r="AL1584" s="9"/>
      <c r="AM1584" s="9"/>
      <c r="AP1584" s="9"/>
      <c r="AQ1584" s="9"/>
      <c r="AT1584" s="9"/>
      <c r="AU1584" s="9"/>
      <c r="AX1584" s="9"/>
      <c r="AY1584" s="9"/>
    </row>
    <row r="1585" spans="17:51" ht="12.75">
      <c r="Q1585" s="28"/>
      <c r="Y1585" s="28"/>
      <c r="AE1585" s="59"/>
      <c r="AH1585" s="9"/>
      <c r="AI1585" s="9"/>
      <c r="AL1585" s="9"/>
      <c r="AM1585" s="9"/>
      <c r="AP1585" s="9"/>
      <c r="AQ1585" s="9"/>
      <c r="AT1585" s="9"/>
      <c r="AU1585" s="9"/>
      <c r="AX1585" s="9"/>
      <c r="AY1585" s="9"/>
    </row>
    <row r="1586" spans="17:51" ht="12.75">
      <c r="Q1586" s="28"/>
      <c r="Y1586" s="28"/>
      <c r="AE1586" s="59"/>
      <c r="AH1586" s="9"/>
      <c r="AI1586" s="9"/>
      <c r="AL1586" s="9"/>
      <c r="AM1586" s="9"/>
      <c r="AP1586" s="9"/>
      <c r="AQ1586" s="9"/>
      <c r="AT1586" s="9"/>
      <c r="AU1586" s="9"/>
      <c r="AX1586" s="9"/>
      <c r="AY1586" s="9"/>
    </row>
    <row r="1587" spans="17:51" ht="12.75">
      <c r="Q1587" s="28"/>
      <c r="Y1587" s="28"/>
      <c r="AE1587" s="59"/>
      <c r="AH1587" s="9"/>
      <c r="AI1587" s="9"/>
      <c r="AL1587" s="9"/>
      <c r="AM1587" s="9"/>
      <c r="AP1587" s="9"/>
      <c r="AQ1587" s="9"/>
      <c r="AT1587" s="9"/>
      <c r="AU1587" s="9"/>
      <c r="AX1587" s="9"/>
      <c r="AY1587" s="9"/>
    </row>
    <row r="1588" spans="17:51" ht="12.75">
      <c r="Q1588" s="28"/>
      <c r="Y1588" s="28"/>
      <c r="AE1588" s="59"/>
      <c r="AH1588" s="9"/>
      <c r="AI1588" s="9"/>
      <c r="AL1588" s="9"/>
      <c r="AM1588" s="9"/>
      <c r="AP1588" s="9"/>
      <c r="AQ1588" s="9"/>
      <c r="AT1588" s="9"/>
      <c r="AU1588" s="9"/>
      <c r="AX1588" s="9"/>
      <c r="AY1588" s="9"/>
    </row>
    <row r="1589" spans="17:51" ht="12.75">
      <c r="Q1589" s="28"/>
      <c r="Y1589" s="28"/>
      <c r="AE1589" s="59"/>
      <c r="AH1589" s="9"/>
      <c r="AI1589" s="9"/>
      <c r="AL1589" s="9"/>
      <c r="AM1589" s="9"/>
      <c r="AP1589" s="9"/>
      <c r="AQ1589" s="9"/>
      <c r="AT1589" s="9"/>
      <c r="AU1589" s="9"/>
      <c r="AX1589" s="9"/>
      <c r="AY1589" s="9"/>
    </row>
    <row r="1590" spans="17:51" ht="12.75">
      <c r="Q1590" s="28"/>
      <c r="Y1590" s="28"/>
      <c r="AE1590" s="59"/>
      <c r="AH1590" s="9"/>
      <c r="AI1590" s="9"/>
      <c r="AL1590" s="9"/>
      <c r="AM1590" s="9"/>
      <c r="AP1590" s="9"/>
      <c r="AQ1590" s="9"/>
      <c r="AT1590" s="9"/>
      <c r="AU1590" s="9"/>
      <c r="AX1590" s="9"/>
      <c r="AY1590" s="9"/>
    </row>
    <row r="1591" spans="17:51" ht="12.75">
      <c r="Q1591" s="28"/>
      <c r="Y1591" s="28"/>
      <c r="AE1591" s="59"/>
      <c r="AH1591" s="9"/>
      <c r="AI1591" s="9"/>
      <c r="AL1591" s="9"/>
      <c r="AM1591" s="9"/>
      <c r="AP1591" s="9"/>
      <c r="AQ1591" s="9"/>
      <c r="AT1591" s="9"/>
      <c r="AU1591" s="9"/>
      <c r="AX1591" s="9"/>
      <c r="AY1591" s="9"/>
    </row>
    <row r="1592" spans="17:51" ht="12.75">
      <c r="Q1592" s="28"/>
      <c r="Y1592" s="28"/>
      <c r="AE1592" s="59"/>
      <c r="AH1592" s="9"/>
      <c r="AI1592" s="9"/>
      <c r="AL1592" s="9"/>
      <c r="AM1592" s="9"/>
      <c r="AP1592" s="9"/>
      <c r="AQ1592" s="9"/>
      <c r="AT1592" s="9"/>
      <c r="AU1592" s="9"/>
      <c r="AX1592" s="9"/>
      <c r="AY1592" s="9"/>
    </row>
    <row r="1593" spans="17:51" ht="12.75">
      <c r="Q1593" s="28"/>
      <c r="Y1593" s="28"/>
      <c r="AE1593" s="59"/>
      <c r="AH1593" s="9"/>
      <c r="AI1593" s="9"/>
      <c r="AL1593" s="9"/>
      <c r="AM1593" s="9"/>
      <c r="AP1593" s="9"/>
      <c r="AQ1593" s="9"/>
      <c r="AT1593" s="9"/>
      <c r="AU1593" s="9"/>
      <c r="AX1593" s="9"/>
      <c r="AY1593" s="9"/>
    </row>
    <row r="1594" spans="17:51" ht="12.75">
      <c r="Q1594" s="28"/>
      <c r="Y1594" s="28"/>
      <c r="AE1594" s="59"/>
      <c r="AH1594" s="9"/>
      <c r="AI1594" s="9"/>
      <c r="AL1594" s="9"/>
      <c r="AM1594" s="9"/>
      <c r="AP1594" s="9"/>
      <c r="AQ1594" s="9"/>
      <c r="AT1594" s="9"/>
      <c r="AU1594" s="9"/>
      <c r="AX1594" s="9"/>
      <c r="AY1594" s="9"/>
    </row>
    <row r="1595" spans="17:51" ht="12.75">
      <c r="Q1595" s="28"/>
      <c r="Y1595" s="28"/>
      <c r="AE1595" s="59"/>
      <c r="AH1595" s="9"/>
      <c r="AI1595" s="9"/>
      <c r="AL1595" s="9"/>
      <c r="AM1595" s="9"/>
      <c r="AP1595" s="9"/>
      <c r="AQ1595" s="9"/>
      <c r="AT1595" s="9"/>
      <c r="AU1595" s="9"/>
      <c r="AX1595" s="9"/>
      <c r="AY1595" s="9"/>
    </row>
    <row r="1596" spans="17:51" ht="12.75">
      <c r="Q1596" s="28"/>
      <c r="Y1596" s="28"/>
      <c r="AE1596" s="59"/>
      <c r="AH1596" s="9"/>
      <c r="AI1596" s="9"/>
      <c r="AL1596" s="9"/>
      <c r="AM1596" s="9"/>
      <c r="AP1596" s="9"/>
      <c r="AQ1596" s="9"/>
      <c r="AT1596" s="9"/>
      <c r="AU1596" s="9"/>
      <c r="AX1596" s="9"/>
      <c r="AY1596" s="9"/>
    </row>
    <row r="1597" spans="17:51" ht="12.75">
      <c r="Q1597" s="28"/>
      <c r="Y1597" s="28"/>
      <c r="AE1597" s="59"/>
      <c r="AH1597" s="9"/>
      <c r="AI1597" s="9"/>
      <c r="AL1597" s="9"/>
      <c r="AM1597" s="9"/>
      <c r="AP1597" s="9"/>
      <c r="AQ1597" s="9"/>
      <c r="AT1597" s="9"/>
      <c r="AU1597" s="9"/>
      <c r="AX1597" s="9"/>
      <c r="AY1597" s="9"/>
    </row>
    <row r="1598" spans="17:51" ht="12.75">
      <c r="Q1598" s="28"/>
      <c r="Y1598" s="28"/>
      <c r="AE1598" s="59"/>
      <c r="AH1598" s="9"/>
      <c r="AI1598" s="9"/>
      <c r="AL1598" s="9"/>
      <c r="AM1598" s="9"/>
      <c r="AP1598" s="9"/>
      <c r="AQ1598" s="9"/>
      <c r="AT1598" s="9"/>
      <c r="AU1598" s="9"/>
      <c r="AX1598" s="9"/>
      <c r="AY1598" s="9"/>
    </row>
    <row r="1599" spans="17:51" ht="12.75">
      <c r="Q1599" s="28"/>
      <c r="Y1599" s="28"/>
      <c r="AE1599" s="59"/>
      <c r="AH1599" s="9"/>
      <c r="AI1599" s="9"/>
      <c r="AL1599" s="9"/>
      <c r="AM1599" s="9"/>
      <c r="AP1599" s="9"/>
      <c r="AQ1599" s="9"/>
      <c r="AT1599" s="9"/>
      <c r="AU1599" s="9"/>
      <c r="AX1599" s="9"/>
      <c r="AY1599" s="9"/>
    </row>
    <row r="1600" spans="17:51" ht="12.75">
      <c r="Q1600" s="28"/>
      <c r="Y1600" s="28"/>
      <c r="AE1600" s="59"/>
      <c r="AH1600" s="9"/>
      <c r="AI1600" s="9"/>
      <c r="AL1600" s="9"/>
      <c r="AM1600" s="9"/>
      <c r="AP1600" s="9"/>
      <c r="AQ1600" s="9"/>
      <c r="AT1600" s="9"/>
      <c r="AU1600" s="9"/>
      <c r="AX1600" s="9"/>
      <c r="AY1600" s="9"/>
    </row>
    <row r="1601" spans="17:51" ht="12.75">
      <c r="Q1601" s="28"/>
      <c r="Y1601" s="28"/>
      <c r="AE1601" s="59"/>
      <c r="AH1601" s="9"/>
      <c r="AI1601" s="9"/>
      <c r="AL1601" s="9"/>
      <c r="AM1601" s="9"/>
      <c r="AP1601" s="9"/>
      <c r="AQ1601" s="9"/>
      <c r="AT1601" s="9"/>
      <c r="AU1601" s="9"/>
      <c r="AX1601" s="9"/>
      <c r="AY1601" s="9"/>
    </row>
    <row r="1602" spans="17:51" ht="12.75">
      <c r="Q1602" s="28"/>
      <c r="Y1602" s="28"/>
      <c r="AE1602" s="59"/>
      <c r="AH1602" s="9"/>
      <c r="AI1602" s="9"/>
      <c r="AL1602" s="9"/>
      <c r="AM1602" s="9"/>
      <c r="AP1602" s="9"/>
      <c r="AQ1602" s="9"/>
      <c r="AT1602" s="9"/>
      <c r="AU1602" s="9"/>
      <c r="AX1602" s="9"/>
      <c r="AY1602" s="9"/>
    </row>
    <row r="1603" spans="17:51" ht="12.75">
      <c r="Q1603" s="28"/>
      <c r="Y1603" s="28"/>
      <c r="AE1603" s="59"/>
      <c r="AH1603" s="9"/>
      <c r="AI1603" s="9"/>
      <c r="AL1603" s="9"/>
      <c r="AM1603" s="9"/>
      <c r="AP1603" s="9"/>
      <c r="AQ1603" s="9"/>
      <c r="AT1603" s="9"/>
      <c r="AU1603" s="9"/>
      <c r="AX1603" s="9"/>
      <c r="AY1603" s="9"/>
    </row>
    <row r="1604" spans="17:51" ht="12.75">
      <c r="Q1604" s="28"/>
      <c r="Y1604" s="28"/>
      <c r="AE1604" s="59"/>
      <c r="AH1604" s="9"/>
      <c r="AI1604" s="9"/>
      <c r="AL1604" s="9"/>
      <c r="AM1604" s="9"/>
      <c r="AP1604" s="9"/>
      <c r="AQ1604" s="9"/>
      <c r="AT1604" s="9"/>
      <c r="AU1604" s="9"/>
      <c r="AX1604" s="9"/>
      <c r="AY1604" s="9"/>
    </row>
    <row r="1605" spans="17:51" ht="12.75">
      <c r="Q1605" s="28"/>
      <c r="Y1605" s="28"/>
      <c r="AE1605" s="59"/>
      <c r="AH1605" s="9"/>
      <c r="AI1605" s="9"/>
      <c r="AL1605" s="9"/>
      <c r="AM1605" s="9"/>
      <c r="AP1605" s="9"/>
      <c r="AQ1605" s="9"/>
      <c r="AT1605" s="9"/>
      <c r="AU1605" s="9"/>
      <c r="AX1605" s="9"/>
      <c r="AY1605" s="9"/>
    </row>
    <row r="1606" spans="17:51" ht="12.75">
      <c r="Q1606" s="28"/>
      <c r="Y1606" s="28"/>
      <c r="AE1606" s="59"/>
      <c r="AH1606" s="9"/>
      <c r="AI1606" s="9"/>
      <c r="AL1606" s="9"/>
      <c r="AM1606" s="9"/>
      <c r="AP1606" s="9"/>
      <c r="AQ1606" s="9"/>
      <c r="AT1606" s="9"/>
      <c r="AU1606" s="9"/>
      <c r="AX1606" s="9"/>
      <c r="AY1606" s="9"/>
    </row>
    <row r="1607" spans="17:51" ht="12.75">
      <c r="Q1607" s="28"/>
      <c r="Y1607" s="28"/>
      <c r="AE1607" s="59"/>
      <c r="AH1607" s="9"/>
      <c r="AI1607" s="9"/>
      <c r="AL1607" s="9"/>
      <c r="AM1607" s="9"/>
      <c r="AP1607" s="9"/>
      <c r="AQ1607" s="9"/>
      <c r="AT1607" s="9"/>
      <c r="AU1607" s="9"/>
      <c r="AX1607" s="9"/>
      <c r="AY1607" s="9"/>
    </row>
    <row r="1608" spans="17:51" ht="12.75">
      <c r="Q1608" s="28"/>
      <c r="Y1608" s="28"/>
      <c r="AE1608" s="59"/>
      <c r="AH1608" s="9"/>
      <c r="AI1608" s="9"/>
      <c r="AL1608" s="9"/>
      <c r="AM1608" s="9"/>
      <c r="AP1608" s="9"/>
      <c r="AQ1608" s="9"/>
      <c r="AT1608" s="9"/>
      <c r="AU1608" s="9"/>
      <c r="AX1608" s="9"/>
      <c r="AY1608" s="9"/>
    </row>
    <row r="1609" spans="17:51" ht="12.75">
      <c r="Q1609" s="28"/>
      <c r="Y1609" s="28"/>
      <c r="AE1609" s="59"/>
      <c r="AH1609" s="9"/>
      <c r="AI1609" s="9"/>
      <c r="AL1609" s="9"/>
      <c r="AM1609" s="9"/>
      <c r="AP1609" s="9"/>
      <c r="AQ1609" s="9"/>
      <c r="AT1609" s="9"/>
      <c r="AU1609" s="9"/>
      <c r="AX1609" s="9"/>
      <c r="AY1609" s="9"/>
    </row>
    <row r="1610" spans="17:51" ht="12.75">
      <c r="Q1610" s="28"/>
      <c r="Y1610" s="28"/>
      <c r="AE1610" s="59"/>
      <c r="AH1610" s="9"/>
      <c r="AI1610" s="9"/>
      <c r="AL1610" s="9"/>
      <c r="AM1610" s="9"/>
      <c r="AP1610" s="9"/>
      <c r="AQ1610" s="9"/>
      <c r="AT1610" s="9"/>
      <c r="AU1610" s="9"/>
      <c r="AX1610" s="9"/>
      <c r="AY1610" s="9"/>
    </row>
    <row r="1611" spans="17:51" ht="12.75">
      <c r="Q1611" s="28"/>
      <c r="Y1611" s="28"/>
      <c r="AE1611" s="59"/>
      <c r="AH1611" s="9"/>
      <c r="AI1611" s="9"/>
      <c r="AL1611" s="9"/>
      <c r="AM1611" s="9"/>
      <c r="AP1611" s="9"/>
      <c r="AQ1611" s="9"/>
      <c r="AT1611" s="9"/>
      <c r="AU1611" s="9"/>
      <c r="AX1611" s="9"/>
      <c r="AY1611" s="9"/>
    </row>
    <row r="1612" spans="17:51" ht="12.75">
      <c r="Q1612" s="28"/>
      <c r="Y1612" s="28"/>
      <c r="AE1612" s="59"/>
      <c r="AH1612" s="9"/>
      <c r="AI1612" s="9"/>
      <c r="AL1612" s="9"/>
      <c r="AM1612" s="9"/>
      <c r="AP1612" s="9"/>
      <c r="AQ1612" s="9"/>
      <c r="AT1612" s="9"/>
      <c r="AU1612" s="9"/>
      <c r="AX1612" s="9"/>
      <c r="AY1612" s="9"/>
    </row>
    <row r="1613" spans="17:51" ht="12.75">
      <c r="Q1613" s="28"/>
      <c r="Y1613" s="28"/>
      <c r="AE1613" s="59"/>
      <c r="AH1613" s="9"/>
      <c r="AI1613" s="9"/>
      <c r="AL1613" s="9"/>
      <c r="AM1613" s="9"/>
      <c r="AP1613" s="9"/>
      <c r="AQ1613" s="9"/>
      <c r="AT1613" s="9"/>
      <c r="AU1613" s="9"/>
      <c r="AX1613" s="9"/>
      <c r="AY1613" s="9"/>
    </row>
    <row r="1614" spans="17:51" ht="12.75">
      <c r="Q1614" s="28"/>
      <c r="Y1614" s="28"/>
      <c r="AE1614" s="59"/>
      <c r="AH1614" s="9"/>
      <c r="AI1614" s="9"/>
      <c r="AL1614" s="9"/>
      <c r="AM1614" s="9"/>
      <c r="AP1614" s="9"/>
      <c r="AQ1614" s="9"/>
      <c r="AT1614" s="9"/>
      <c r="AU1614" s="9"/>
      <c r="AX1614" s="9"/>
      <c r="AY1614" s="9"/>
    </row>
    <row r="1615" spans="17:51" ht="12.75">
      <c r="Q1615" s="28"/>
      <c r="Y1615" s="28"/>
      <c r="AE1615" s="59"/>
      <c r="AH1615" s="9"/>
      <c r="AI1615" s="9"/>
      <c r="AL1615" s="9"/>
      <c r="AM1615" s="9"/>
      <c r="AP1615" s="9"/>
      <c r="AQ1615" s="9"/>
      <c r="AT1615" s="9"/>
      <c r="AU1615" s="9"/>
      <c r="AX1615" s="9"/>
      <c r="AY1615" s="9"/>
    </row>
    <row r="1616" spans="17:51" ht="12.75">
      <c r="Q1616" s="28"/>
      <c r="Y1616" s="28"/>
      <c r="AE1616" s="59"/>
      <c r="AH1616" s="9"/>
      <c r="AI1616" s="9"/>
      <c r="AL1616" s="9"/>
      <c r="AM1616" s="9"/>
      <c r="AP1616" s="9"/>
      <c r="AQ1616" s="9"/>
      <c r="AT1616" s="9"/>
      <c r="AU1616" s="9"/>
      <c r="AX1616" s="9"/>
      <c r="AY1616" s="9"/>
    </row>
    <row r="1617" spans="17:51" ht="12.75">
      <c r="Q1617" s="28"/>
      <c r="Y1617" s="28"/>
      <c r="AE1617" s="59"/>
      <c r="AH1617" s="9"/>
      <c r="AI1617" s="9"/>
      <c r="AL1617" s="9"/>
      <c r="AM1617" s="9"/>
      <c r="AP1617" s="9"/>
      <c r="AQ1617" s="9"/>
      <c r="AT1617" s="9"/>
      <c r="AU1617" s="9"/>
      <c r="AX1617" s="9"/>
      <c r="AY1617" s="9"/>
    </row>
    <row r="1618" spans="17:51" ht="12.75">
      <c r="Q1618" s="28"/>
      <c r="Y1618" s="28"/>
      <c r="AE1618" s="59"/>
      <c r="AH1618" s="9"/>
      <c r="AI1618" s="9"/>
      <c r="AL1618" s="9"/>
      <c r="AM1618" s="9"/>
      <c r="AP1618" s="9"/>
      <c r="AQ1618" s="9"/>
      <c r="AT1618" s="9"/>
      <c r="AU1618" s="9"/>
      <c r="AX1618" s="9"/>
      <c r="AY1618" s="9"/>
    </row>
    <row r="1619" spans="17:51" ht="12.75">
      <c r="Q1619" s="28"/>
      <c r="Y1619" s="28"/>
      <c r="AE1619" s="59"/>
      <c r="AH1619" s="9"/>
      <c r="AI1619" s="9"/>
      <c r="AL1619" s="9"/>
      <c r="AM1619" s="9"/>
      <c r="AP1619" s="9"/>
      <c r="AQ1619" s="9"/>
      <c r="AT1619" s="9"/>
      <c r="AU1619" s="9"/>
      <c r="AX1619" s="9"/>
      <c r="AY1619" s="9"/>
    </row>
    <row r="1620" spans="17:51" ht="12.75">
      <c r="Q1620" s="28"/>
      <c r="Y1620" s="28"/>
      <c r="AE1620" s="59"/>
      <c r="AH1620" s="9"/>
      <c r="AI1620" s="9"/>
      <c r="AL1620" s="9"/>
      <c r="AM1620" s="9"/>
      <c r="AP1620" s="9"/>
      <c r="AQ1620" s="9"/>
      <c r="AT1620" s="9"/>
      <c r="AU1620" s="9"/>
      <c r="AX1620" s="9"/>
      <c r="AY1620" s="9"/>
    </row>
    <row r="1621" spans="17:51" ht="12.75">
      <c r="Q1621" s="28"/>
      <c r="Y1621" s="28"/>
      <c r="AE1621" s="59"/>
      <c r="AH1621" s="9"/>
      <c r="AI1621" s="9"/>
      <c r="AL1621" s="9"/>
      <c r="AM1621" s="9"/>
      <c r="AP1621" s="9"/>
      <c r="AQ1621" s="9"/>
      <c r="AT1621" s="9"/>
      <c r="AU1621" s="9"/>
      <c r="AX1621" s="9"/>
      <c r="AY1621" s="9"/>
    </row>
    <row r="1622" spans="17:51" ht="12.75">
      <c r="Q1622" s="28"/>
      <c r="Y1622" s="28"/>
      <c r="AE1622" s="59"/>
      <c r="AH1622" s="9"/>
      <c r="AI1622" s="9"/>
      <c r="AL1622" s="9"/>
      <c r="AM1622" s="9"/>
      <c r="AP1622" s="9"/>
      <c r="AQ1622" s="9"/>
      <c r="AT1622" s="9"/>
      <c r="AU1622" s="9"/>
      <c r="AX1622" s="9"/>
      <c r="AY1622" s="9"/>
    </row>
    <row r="1623" spans="17:51" ht="12.75">
      <c r="Q1623" s="28"/>
      <c r="Y1623" s="28"/>
      <c r="AE1623" s="59"/>
      <c r="AH1623" s="9"/>
      <c r="AI1623" s="9"/>
      <c r="AL1623" s="9"/>
      <c r="AM1623" s="9"/>
      <c r="AP1623" s="9"/>
      <c r="AQ1623" s="9"/>
      <c r="AT1623" s="9"/>
      <c r="AU1623" s="9"/>
      <c r="AX1623" s="9"/>
      <c r="AY1623" s="9"/>
    </row>
    <row r="1624" spans="17:51" ht="12.75">
      <c r="Q1624" s="28"/>
      <c r="Y1624" s="28"/>
      <c r="AE1624" s="59"/>
      <c r="AH1624" s="9"/>
      <c r="AI1624" s="9"/>
      <c r="AL1624" s="9"/>
      <c r="AM1624" s="9"/>
      <c r="AP1624" s="9"/>
      <c r="AQ1624" s="9"/>
      <c r="AT1624" s="9"/>
      <c r="AU1624" s="9"/>
      <c r="AX1624" s="9"/>
      <c r="AY1624" s="9"/>
    </row>
    <row r="1625" spans="17:51" ht="12.75">
      <c r="Q1625" s="28"/>
      <c r="Y1625" s="28"/>
      <c r="AE1625" s="59"/>
      <c r="AH1625" s="9"/>
      <c r="AI1625" s="9"/>
      <c r="AL1625" s="9"/>
      <c r="AM1625" s="9"/>
      <c r="AP1625" s="9"/>
      <c r="AQ1625" s="9"/>
      <c r="AT1625" s="9"/>
      <c r="AU1625" s="9"/>
      <c r="AX1625" s="9"/>
      <c r="AY1625" s="9"/>
    </row>
    <row r="1626" spans="17:51" ht="12.75">
      <c r="Q1626" s="28"/>
      <c r="Y1626" s="28"/>
      <c r="AE1626" s="59"/>
      <c r="AH1626" s="9"/>
      <c r="AI1626" s="9"/>
      <c r="AL1626" s="9"/>
      <c r="AM1626" s="9"/>
      <c r="AP1626" s="9"/>
      <c r="AQ1626" s="9"/>
      <c r="AT1626" s="9"/>
      <c r="AU1626" s="9"/>
      <c r="AX1626" s="9"/>
      <c r="AY1626" s="9"/>
    </row>
    <row r="1627" spans="17:51" ht="12.75">
      <c r="Q1627" s="28"/>
      <c r="Y1627" s="28"/>
      <c r="AE1627" s="59"/>
      <c r="AH1627" s="9"/>
      <c r="AI1627" s="9"/>
      <c r="AL1627" s="9"/>
      <c r="AM1627" s="9"/>
      <c r="AP1627" s="9"/>
      <c r="AQ1627" s="9"/>
      <c r="AT1627" s="9"/>
      <c r="AU1627" s="9"/>
      <c r="AX1627" s="9"/>
      <c r="AY1627" s="9"/>
    </row>
    <row r="1628" spans="17:51" ht="12.75">
      <c r="Q1628" s="28"/>
      <c r="Y1628" s="28"/>
      <c r="AE1628" s="59"/>
      <c r="AH1628" s="9"/>
      <c r="AI1628" s="9"/>
      <c r="AL1628" s="9"/>
      <c r="AM1628" s="9"/>
      <c r="AP1628" s="9"/>
      <c r="AQ1628" s="9"/>
      <c r="AT1628" s="9"/>
      <c r="AU1628" s="9"/>
      <c r="AX1628" s="9"/>
      <c r="AY1628" s="9"/>
    </row>
    <row r="1629" spans="17:51" ht="12.75">
      <c r="Q1629" s="28"/>
      <c r="Y1629" s="28"/>
      <c r="AE1629" s="59"/>
      <c r="AH1629" s="9"/>
      <c r="AI1629" s="9"/>
      <c r="AL1629" s="9"/>
      <c r="AM1629" s="9"/>
      <c r="AP1629" s="9"/>
      <c r="AQ1629" s="9"/>
      <c r="AT1629" s="9"/>
      <c r="AU1629" s="9"/>
      <c r="AX1629" s="9"/>
      <c r="AY1629" s="9"/>
    </row>
    <row r="1630" spans="17:51" ht="12.75">
      <c r="Q1630" s="28"/>
      <c r="Y1630" s="28"/>
      <c r="AE1630" s="59"/>
      <c r="AH1630" s="9"/>
      <c r="AI1630" s="9"/>
      <c r="AL1630" s="9"/>
      <c r="AM1630" s="9"/>
      <c r="AP1630" s="9"/>
      <c r="AQ1630" s="9"/>
      <c r="AT1630" s="9"/>
      <c r="AU1630" s="9"/>
      <c r="AX1630" s="9"/>
      <c r="AY1630" s="9"/>
    </row>
    <row r="1631" spans="17:51" ht="12.75">
      <c r="Q1631" s="28"/>
      <c r="Y1631" s="28"/>
      <c r="AE1631" s="59"/>
      <c r="AH1631" s="9"/>
      <c r="AI1631" s="9"/>
      <c r="AL1631" s="9"/>
      <c r="AM1631" s="9"/>
      <c r="AP1631" s="9"/>
      <c r="AQ1631" s="9"/>
      <c r="AT1631" s="9"/>
      <c r="AU1631" s="9"/>
      <c r="AX1631" s="9"/>
      <c r="AY1631" s="9"/>
    </row>
    <row r="1632" spans="17:51" ht="12.75">
      <c r="Q1632" s="28"/>
      <c r="Y1632" s="28"/>
      <c r="AE1632" s="59"/>
      <c r="AH1632" s="9"/>
      <c r="AI1632" s="9"/>
      <c r="AL1632" s="9"/>
      <c r="AM1632" s="9"/>
      <c r="AP1632" s="9"/>
      <c r="AQ1632" s="9"/>
      <c r="AT1632" s="9"/>
      <c r="AU1632" s="9"/>
      <c r="AX1632" s="9"/>
      <c r="AY1632" s="9"/>
    </row>
    <row r="1633" spans="17:51" ht="12.75">
      <c r="Q1633" s="28"/>
      <c r="Y1633" s="28"/>
      <c r="AE1633" s="59"/>
      <c r="AH1633" s="9"/>
      <c r="AI1633" s="9"/>
      <c r="AL1633" s="9"/>
      <c r="AM1633" s="9"/>
      <c r="AP1633" s="9"/>
      <c r="AQ1633" s="9"/>
      <c r="AT1633" s="9"/>
      <c r="AU1633" s="9"/>
      <c r="AX1633" s="9"/>
      <c r="AY1633" s="9"/>
    </row>
    <row r="1634" spans="17:51" ht="12.75">
      <c r="Q1634" s="28"/>
      <c r="Y1634" s="28"/>
      <c r="AE1634" s="59"/>
      <c r="AH1634" s="9"/>
      <c r="AI1634" s="9"/>
      <c r="AL1634" s="9"/>
      <c r="AM1634" s="9"/>
      <c r="AP1634" s="9"/>
      <c r="AQ1634" s="9"/>
      <c r="AT1634" s="9"/>
      <c r="AU1634" s="9"/>
      <c r="AX1634" s="9"/>
      <c r="AY1634" s="9"/>
    </row>
    <row r="1635" spans="17:51" ht="12.75">
      <c r="Q1635" s="28"/>
      <c r="Y1635" s="28"/>
      <c r="AE1635" s="59"/>
      <c r="AH1635" s="9"/>
      <c r="AI1635" s="9"/>
      <c r="AL1635" s="9"/>
      <c r="AM1635" s="9"/>
      <c r="AP1635" s="9"/>
      <c r="AQ1635" s="9"/>
      <c r="AT1635" s="9"/>
      <c r="AU1635" s="9"/>
      <c r="AX1635" s="9"/>
      <c r="AY1635" s="9"/>
    </row>
    <row r="1636" spans="17:51" ht="12.75">
      <c r="Q1636" s="28"/>
      <c r="Y1636" s="28"/>
      <c r="AE1636" s="59"/>
      <c r="AH1636" s="9"/>
      <c r="AI1636" s="9"/>
      <c r="AL1636" s="9"/>
      <c r="AM1636" s="9"/>
      <c r="AP1636" s="9"/>
      <c r="AQ1636" s="9"/>
      <c r="AT1636" s="9"/>
      <c r="AU1636" s="9"/>
      <c r="AX1636" s="9"/>
      <c r="AY1636" s="9"/>
    </row>
    <row r="1637" spans="17:51" ht="12.75">
      <c r="Q1637" s="28"/>
      <c r="Y1637" s="28"/>
      <c r="AE1637" s="59"/>
      <c r="AH1637" s="9"/>
      <c r="AI1637" s="9"/>
      <c r="AL1637" s="9"/>
      <c r="AM1637" s="9"/>
      <c r="AP1637" s="9"/>
      <c r="AQ1637" s="9"/>
      <c r="AT1637" s="9"/>
      <c r="AU1637" s="9"/>
      <c r="AX1637" s="9"/>
      <c r="AY1637" s="9"/>
    </row>
    <row r="1638" spans="17:51" ht="12.75">
      <c r="Q1638" s="28"/>
      <c r="Y1638" s="28"/>
      <c r="AE1638" s="59"/>
      <c r="AH1638" s="9"/>
      <c r="AI1638" s="9"/>
      <c r="AL1638" s="9"/>
      <c r="AM1638" s="9"/>
      <c r="AP1638" s="9"/>
      <c r="AQ1638" s="9"/>
      <c r="AT1638" s="9"/>
      <c r="AU1638" s="9"/>
      <c r="AX1638" s="9"/>
      <c r="AY1638" s="9"/>
    </row>
    <row r="1639" spans="17:51" ht="12.75">
      <c r="Q1639" s="28"/>
      <c r="Y1639" s="28"/>
      <c r="AE1639" s="59"/>
      <c r="AH1639" s="9"/>
      <c r="AI1639" s="9"/>
      <c r="AL1639" s="9"/>
      <c r="AM1639" s="9"/>
      <c r="AP1639" s="9"/>
      <c r="AQ1639" s="9"/>
      <c r="AT1639" s="9"/>
      <c r="AU1639" s="9"/>
      <c r="AX1639" s="9"/>
      <c r="AY1639" s="9"/>
    </row>
    <row r="1640" spans="17:51" ht="12.75">
      <c r="Q1640" s="28"/>
      <c r="Y1640" s="28"/>
      <c r="AE1640" s="59"/>
      <c r="AH1640" s="9"/>
      <c r="AI1640" s="9"/>
      <c r="AL1640" s="9"/>
      <c r="AM1640" s="9"/>
      <c r="AP1640" s="9"/>
      <c r="AQ1640" s="9"/>
      <c r="AT1640" s="9"/>
      <c r="AU1640" s="9"/>
      <c r="AX1640" s="9"/>
      <c r="AY1640" s="9"/>
    </row>
    <row r="1641" spans="17:51" ht="12.75">
      <c r="Q1641" s="28"/>
      <c r="Y1641" s="28"/>
      <c r="AE1641" s="59"/>
      <c r="AH1641" s="9"/>
      <c r="AI1641" s="9"/>
      <c r="AL1641" s="9"/>
      <c r="AM1641" s="9"/>
      <c r="AP1641" s="9"/>
      <c r="AQ1641" s="9"/>
      <c r="AT1641" s="9"/>
      <c r="AU1641" s="9"/>
      <c r="AX1641" s="9"/>
      <c r="AY1641" s="9"/>
    </row>
    <row r="1642" spans="17:51" ht="12.75">
      <c r="Q1642" s="28"/>
      <c r="Y1642" s="28"/>
      <c r="AE1642" s="59"/>
      <c r="AH1642" s="9"/>
      <c r="AI1642" s="9"/>
      <c r="AL1642" s="9"/>
      <c r="AM1642" s="9"/>
      <c r="AP1642" s="9"/>
      <c r="AQ1642" s="9"/>
      <c r="AT1642" s="9"/>
      <c r="AU1642" s="9"/>
      <c r="AX1642" s="9"/>
      <c r="AY1642" s="9"/>
    </row>
    <row r="1643" spans="17:51" ht="12.75">
      <c r="Q1643" s="28"/>
      <c r="Y1643" s="28"/>
      <c r="AE1643" s="59"/>
      <c r="AH1643" s="9"/>
      <c r="AI1643" s="9"/>
      <c r="AL1643" s="9"/>
      <c r="AM1643" s="9"/>
      <c r="AP1643" s="9"/>
      <c r="AQ1643" s="9"/>
      <c r="AT1643" s="9"/>
      <c r="AU1643" s="9"/>
      <c r="AX1643" s="9"/>
      <c r="AY1643" s="9"/>
    </row>
    <row r="1644" spans="17:51" ht="12.75">
      <c r="Q1644" s="28"/>
      <c r="Y1644" s="28"/>
      <c r="AE1644" s="59"/>
      <c r="AH1644" s="9"/>
      <c r="AI1644" s="9"/>
      <c r="AL1644" s="9"/>
      <c r="AM1644" s="9"/>
      <c r="AP1644" s="9"/>
      <c r="AQ1644" s="9"/>
      <c r="AT1644" s="9"/>
      <c r="AU1644" s="9"/>
      <c r="AX1644" s="9"/>
      <c r="AY1644" s="9"/>
    </row>
    <row r="1645" spans="17:51" ht="12.75">
      <c r="Q1645" s="28"/>
      <c r="Y1645" s="28"/>
      <c r="AE1645" s="59"/>
      <c r="AH1645" s="9"/>
      <c r="AI1645" s="9"/>
      <c r="AL1645" s="9"/>
      <c r="AM1645" s="9"/>
      <c r="AP1645" s="9"/>
      <c r="AQ1645" s="9"/>
      <c r="AT1645" s="9"/>
      <c r="AU1645" s="9"/>
      <c r="AX1645" s="9"/>
      <c r="AY1645" s="9"/>
    </row>
    <row r="1646" spans="17:51" ht="12.75">
      <c r="Q1646" s="28"/>
      <c r="Y1646" s="28"/>
      <c r="AE1646" s="59"/>
      <c r="AH1646" s="9"/>
      <c r="AI1646" s="9"/>
      <c r="AL1646" s="9"/>
      <c r="AM1646" s="9"/>
      <c r="AP1646" s="9"/>
      <c r="AQ1646" s="9"/>
      <c r="AT1646" s="9"/>
      <c r="AU1646" s="9"/>
      <c r="AX1646" s="9"/>
      <c r="AY1646" s="9"/>
    </row>
    <row r="1647" spans="17:51" ht="12.75">
      <c r="Q1647" s="28"/>
      <c r="Y1647" s="28"/>
      <c r="AE1647" s="59"/>
      <c r="AH1647" s="9"/>
      <c r="AI1647" s="9"/>
      <c r="AL1647" s="9"/>
      <c r="AM1647" s="9"/>
      <c r="AP1647" s="9"/>
      <c r="AQ1647" s="9"/>
      <c r="AT1647" s="9"/>
      <c r="AU1647" s="9"/>
      <c r="AX1647" s="9"/>
      <c r="AY1647" s="9"/>
    </row>
    <row r="1648" spans="17:51" ht="12.75">
      <c r="Q1648" s="28"/>
      <c r="Y1648" s="28"/>
      <c r="AE1648" s="59"/>
      <c r="AH1648" s="9"/>
      <c r="AI1648" s="9"/>
      <c r="AL1648" s="9"/>
      <c r="AM1648" s="9"/>
      <c r="AP1648" s="9"/>
      <c r="AQ1648" s="9"/>
      <c r="AT1648" s="9"/>
      <c r="AU1648" s="9"/>
      <c r="AX1648" s="9"/>
      <c r="AY1648" s="9"/>
    </row>
    <row r="1649" spans="17:51" ht="12.75">
      <c r="Q1649" s="28"/>
      <c r="Y1649" s="28"/>
      <c r="AE1649" s="59"/>
      <c r="AH1649" s="9"/>
      <c r="AI1649" s="9"/>
      <c r="AL1649" s="9"/>
      <c r="AM1649" s="9"/>
      <c r="AP1649" s="9"/>
      <c r="AQ1649" s="9"/>
      <c r="AT1649" s="9"/>
      <c r="AU1649" s="9"/>
      <c r="AX1649" s="9"/>
      <c r="AY1649" s="9"/>
    </row>
    <row r="1650" spans="17:51" ht="12.75">
      <c r="Q1650" s="28"/>
      <c r="Y1650" s="28"/>
      <c r="AE1650" s="59"/>
      <c r="AH1650" s="9"/>
      <c r="AI1650" s="9"/>
      <c r="AL1650" s="9"/>
      <c r="AM1650" s="9"/>
      <c r="AP1650" s="9"/>
      <c r="AQ1650" s="9"/>
      <c r="AT1650" s="9"/>
      <c r="AU1650" s="9"/>
      <c r="AX1650" s="9"/>
      <c r="AY1650" s="9"/>
    </row>
    <row r="1651" spans="17:51" ht="12.75">
      <c r="Q1651" s="28"/>
      <c r="Y1651" s="28"/>
      <c r="AE1651" s="59"/>
      <c r="AH1651" s="9"/>
      <c r="AI1651" s="9"/>
      <c r="AL1651" s="9"/>
      <c r="AM1651" s="9"/>
      <c r="AP1651" s="9"/>
      <c r="AQ1651" s="9"/>
      <c r="AT1651" s="9"/>
      <c r="AU1651" s="9"/>
      <c r="AX1651" s="9"/>
      <c r="AY1651" s="9"/>
    </row>
    <row r="1652" spans="17:51" ht="12.75">
      <c r="Q1652" s="28"/>
      <c r="Y1652" s="28"/>
      <c r="AE1652" s="59"/>
      <c r="AH1652" s="9"/>
      <c r="AI1652" s="9"/>
      <c r="AL1652" s="9"/>
      <c r="AM1652" s="9"/>
      <c r="AP1652" s="9"/>
      <c r="AQ1652" s="9"/>
      <c r="AT1652" s="9"/>
      <c r="AU1652" s="9"/>
      <c r="AX1652" s="9"/>
      <c r="AY1652" s="9"/>
    </row>
    <row r="1653" spans="17:51" ht="12.75">
      <c r="Q1653" s="28"/>
      <c r="Y1653" s="28"/>
      <c r="AE1653" s="59"/>
      <c r="AH1653" s="9"/>
      <c r="AI1653" s="9"/>
      <c r="AL1653" s="9"/>
      <c r="AM1653" s="9"/>
      <c r="AP1653" s="9"/>
      <c r="AQ1653" s="9"/>
      <c r="AT1653" s="9"/>
      <c r="AU1653" s="9"/>
      <c r="AX1653" s="9"/>
      <c r="AY1653" s="9"/>
    </row>
    <row r="1654" spans="17:51" ht="12.75">
      <c r="Q1654" s="28"/>
      <c r="Y1654" s="28"/>
      <c r="AE1654" s="59"/>
      <c r="AH1654" s="9"/>
      <c r="AI1654" s="9"/>
      <c r="AL1654" s="9"/>
      <c r="AM1654" s="9"/>
      <c r="AP1654" s="9"/>
      <c r="AQ1654" s="9"/>
      <c r="AT1654" s="9"/>
      <c r="AU1654" s="9"/>
      <c r="AX1654" s="9"/>
      <c r="AY1654" s="9"/>
    </row>
    <row r="1655" spans="17:31" ht="12.75">
      <c r="Q1655" s="28"/>
      <c r="Y1655" s="28"/>
      <c r="AE1655" s="59"/>
    </row>
    <row r="1656" spans="17:31" ht="12.75">
      <c r="Q1656" s="28"/>
      <c r="Y1656" s="28"/>
      <c r="AE1656" s="59"/>
    </row>
    <row r="1657" spans="17:25" ht="12.75">
      <c r="Q1657" s="28"/>
      <c r="Y1657" s="28"/>
    </row>
    <row r="1658" spans="17:25" ht="12.75">
      <c r="Q1658" s="28"/>
      <c r="Y1658" s="28"/>
    </row>
    <row r="1659" spans="17:25" ht="12.75">
      <c r="Q1659" s="28"/>
      <c r="Y1659" s="28"/>
    </row>
    <row r="1660" spans="17:25" ht="12.75">
      <c r="Q1660" s="28"/>
      <c r="Y1660" s="28"/>
    </row>
    <row r="1661" spans="17:25" ht="12.75">
      <c r="Q1661" s="28"/>
      <c r="Y1661" s="28"/>
    </row>
    <row r="1662" spans="17:25" ht="12.75">
      <c r="Q1662" s="28"/>
      <c r="Y1662" s="28"/>
    </row>
    <row r="1663" spans="17:25" ht="12.75">
      <c r="Q1663" s="28"/>
      <c r="Y1663" s="28"/>
    </row>
    <row r="1664" spans="17:25" ht="12.75">
      <c r="Q1664" s="28"/>
      <c r="Y1664" s="28"/>
    </row>
    <row r="1665" spans="17:25" ht="12.75">
      <c r="Q1665" s="28"/>
      <c r="Y1665" s="28"/>
    </row>
    <row r="1666" spans="17:25" ht="12.75">
      <c r="Q1666" s="28"/>
      <c r="Y1666" s="28"/>
    </row>
    <row r="1667" spans="17:25" ht="12.75">
      <c r="Q1667" s="28"/>
      <c r="Y1667" s="28"/>
    </row>
    <row r="1668" spans="17:25" ht="12.75">
      <c r="Q1668" s="28"/>
      <c r="Y1668" s="28"/>
    </row>
    <row r="1669" spans="17:25" ht="12.75">
      <c r="Q1669" s="28"/>
      <c r="Y1669" s="28"/>
    </row>
    <row r="1670" spans="17:25" ht="12.75">
      <c r="Q1670" s="28"/>
      <c r="Y1670" s="28"/>
    </row>
    <row r="1671" spans="17:25" ht="12.75">
      <c r="Q1671" s="28"/>
      <c r="Y1671" s="28"/>
    </row>
    <row r="1672" spans="17:25" ht="12.75">
      <c r="Q1672" s="28"/>
      <c r="Y1672" s="28"/>
    </row>
    <row r="1673" spans="17:25" ht="12.75">
      <c r="Q1673" s="28"/>
      <c r="Y1673" s="28"/>
    </row>
    <row r="1674" spans="17:25" ht="12.75">
      <c r="Q1674" s="28"/>
      <c r="Y1674" s="28"/>
    </row>
    <row r="1675" spans="17:25" ht="12.75">
      <c r="Q1675" s="28"/>
      <c r="Y1675" s="28"/>
    </row>
    <row r="1676" spans="17:25" ht="12.75">
      <c r="Q1676" s="28"/>
      <c r="Y1676" s="28"/>
    </row>
    <row r="1677" spans="17:25" ht="12.75">
      <c r="Q1677" s="28"/>
      <c r="Y1677" s="28"/>
    </row>
    <row r="1678" spans="17:25" ht="12.75">
      <c r="Q1678" s="28"/>
      <c r="Y1678" s="28"/>
    </row>
    <row r="1679" spans="17:25" ht="12.75">
      <c r="Q1679" s="28"/>
      <c r="Y1679" s="28"/>
    </row>
    <row r="1680" spans="17:25" ht="12.75">
      <c r="Q1680" s="28"/>
      <c r="Y1680" s="28"/>
    </row>
    <row r="1681" spans="17:25" ht="12.75">
      <c r="Q1681" s="28"/>
      <c r="Y1681" s="28"/>
    </row>
    <row r="1682" spans="17:25" ht="12.75">
      <c r="Q1682" s="28"/>
      <c r="Y1682" s="28"/>
    </row>
    <row r="1683" spans="17:25" ht="12.75">
      <c r="Q1683" s="28"/>
      <c r="Y1683" s="28"/>
    </row>
    <row r="1684" spans="17:25" ht="12.75">
      <c r="Q1684" s="28"/>
      <c r="Y1684" s="28"/>
    </row>
    <row r="1685" spans="17:25" ht="12.75">
      <c r="Q1685" s="28"/>
      <c r="Y1685" s="28"/>
    </row>
    <row r="1686" spans="17:25" ht="12.75">
      <c r="Q1686" s="28"/>
      <c r="Y1686" s="28"/>
    </row>
    <row r="1687" spans="17:25" ht="12.75">
      <c r="Q1687" s="28"/>
      <c r="Y1687" s="28"/>
    </row>
    <row r="1688" spans="17:25" ht="12.75">
      <c r="Q1688" s="28"/>
      <c r="Y1688" s="28"/>
    </row>
    <row r="1689" spans="17:25" ht="12.75">
      <c r="Q1689" s="28"/>
      <c r="Y1689" s="28"/>
    </row>
    <row r="1690" spans="17:25" ht="12.75">
      <c r="Q1690" s="28"/>
      <c r="Y1690" s="28"/>
    </row>
    <row r="1691" spans="17:25" ht="12.75">
      <c r="Q1691" s="28"/>
      <c r="Y1691" s="28"/>
    </row>
    <row r="1692" spans="17:25" ht="12.75">
      <c r="Q1692" s="28"/>
      <c r="Y1692" s="28"/>
    </row>
    <row r="1693" spans="17:25" ht="12.75">
      <c r="Q1693" s="28"/>
      <c r="Y1693" s="28"/>
    </row>
    <row r="1694" spans="17:25" ht="12.75">
      <c r="Q1694" s="28"/>
      <c r="Y1694" s="28"/>
    </row>
    <row r="1695" spans="17:25" ht="12.75">
      <c r="Q1695" s="28"/>
      <c r="Y1695" s="28"/>
    </row>
    <row r="1696" spans="17:25" ht="12.75">
      <c r="Q1696" s="28"/>
      <c r="Y1696" s="28"/>
    </row>
    <row r="1697" spans="17:25" ht="12.75">
      <c r="Q1697" s="28"/>
      <c r="Y1697" s="28"/>
    </row>
    <row r="1698" spans="17:25" ht="12.75">
      <c r="Q1698" s="28"/>
      <c r="Y1698" s="28"/>
    </row>
    <row r="1699" spans="17:25" ht="12.75">
      <c r="Q1699" s="28"/>
      <c r="Y1699" s="28"/>
    </row>
    <row r="1700" spans="17:25" ht="12.75">
      <c r="Q1700" s="28"/>
      <c r="Y1700" s="28"/>
    </row>
    <row r="1701" spans="17:25" ht="12.75">
      <c r="Q1701" s="28"/>
      <c r="Y1701" s="28"/>
    </row>
    <row r="1702" spans="17:25" ht="12.75">
      <c r="Q1702" s="28"/>
      <c r="Y1702" s="28"/>
    </row>
    <row r="1703" spans="17:25" ht="12.75">
      <c r="Q1703" s="28"/>
      <c r="Y1703" s="28"/>
    </row>
    <row r="1704" spans="17:25" ht="12.75">
      <c r="Q1704" s="28"/>
      <c r="Y1704" s="28"/>
    </row>
    <row r="1705" spans="17:25" ht="12.75">
      <c r="Q1705" s="28"/>
      <c r="Y1705" s="28"/>
    </row>
    <row r="1706" spans="17:25" ht="12.75">
      <c r="Q1706" s="28"/>
      <c r="Y1706" s="28"/>
    </row>
    <row r="1707" spans="17:25" ht="12.75">
      <c r="Q1707" s="28"/>
      <c r="Y1707" s="28"/>
    </row>
    <row r="1708" spans="17:25" ht="12.75">
      <c r="Q1708" s="28"/>
      <c r="Y1708" s="28"/>
    </row>
    <row r="1709" spans="17:25" ht="12.75">
      <c r="Q1709" s="28"/>
      <c r="Y1709" s="28"/>
    </row>
    <row r="1710" spans="17:25" ht="12.75">
      <c r="Q1710" s="28"/>
      <c r="Y1710" s="28"/>
    </row>
    <row r="1711" spans="17:25" ht="12.75">
      <c r="Q1711" s="28"/>
      <c r="Y1711" s="28"/>
    </row>
    <row r="1712" spans="17:25" ht="12.75">
      <c r="Q1712" s="28"/>
      <c r="Y1712" s="28"/>
    </row>
    <row r="1713" spans="17:25" ht="12.75">
      <c r="Q1713" s="28"/>
      <c r="Y1713" s="28"/>
    </row>
    <row r="1714" spans="17:25" ht="12.75">
      <c r="Q1714" s="28"/>
      <c r="Y1714" s="28"/>
    </row>
    <row r="1715" spans="17:25" ht="12.75">
      <c r="Q1715" s="28"/>
      <c r="Y1715" s="28"/>
    </row>
    <row r="1716" spans="17:25" ht="12.75">
      <c r="Q1716" s="28"/>
      <c r="Y1716" s="28"/>
    </row>
    <row r="1717" spans="17:25" ht="12.75">
      <c r="Q1717" s="28"/>
      <c r="Y1717" s="28"/>
    </row>
    <row r="1718" spans="17:25" ht="12.75">
      <c r="Q1718" s="28"/>
      <c r="Y1718" s="28"/>
    </row>
    <row r="1719" spans="17:25" ht="12.75">
      <c r="Q1719" s="28"/>
      <c r="Y1719" s="28"/>
    </row>
    <row r="1720" spans="17:25" ht="12.75">
      <c r="Q1720" s="28"/>
      <c r="Y1720" s="28"/>
    </row>
    <row r="1721" spans="17:25" ht="12.75">
      <c r="Q1721" s="28"/>
      <c r="Y1721" s="28"/>
    </row>
    <row r="1722" spans="17:25" ht="12.75">
      <c r="Q1722" s="28"/>
      <c r="Y1722" s="28"/>
    </row>
    <row r="1723" spans="17:25" ht="12.75">
      <c r="Q1723" s="28"/>
      <c r="Y1723" s="28"/>
    </row>
    <row r="1724" spans="17:25" ht="12.75">
      <c r="Q1724" s="28"/>
      <c r="Y1724" s="28"/>
    </row>
    <row r="1725" spans="17:25" ht="12.75">
      <c r="Q1725" s="28"/>
      <c r="Y1725" s="28"/>
    </row>
    <row r="1726" spans="17:25" ht="12.75">
      <c r="Q1726" s="28"/>
      <c r="Y1726" s="28"/>
    </row>
    <row r="1727" spans="17:25" ht="12.75">
      <c r="Q1727" s="28"/>
      <c r="Y1727" s="28"/>
    </row>
    <row r="1728" spans="17:25" ht="12.75">
      <c r="Q1728" s="28"/>
      <c r="Y1728" s="28"/>
    </row>
    <row r="1729" spans="17:25" ht="12.75">
      <c r="Q1729" s="28"/>
      <c r="Y1729" s="28"/>
    </row>
    <row r="1730" spans="17:25" ht="12.75">
      <c r="Q1730" s="28"/>
      <c r="Y1730" s="28"/>
    </row>
    <row r="1731" spans="17:25" ht="12.75">
      <c r="Q1731" s="28"/>
      <c r="Y1731" s="28"/>
    </row>
    <row r="1732" spans="17:25" ht="12.75">
      <c r="Q1732" s="28"/>
      <c r="Y1732" s="28"/>
    </row>
    <row r="1733" spans="17:25" ht="12.75">
      <c r="Q1733" s="28"/>
      <c r="Y1733" s="28"/>
    </row>
    <row r="1734" spans="17:25" ht="12.75">
      <c r="Q1734" s="28"/>
      <c r="Y1734" s="28"/>
    </row>
    <row r="1735" spans="17:25" ht="12.75">
      <c r="Q1735" s="28"/>
      <c r="Y1735" s="28"/>
    </row>
    <row r="1736" spans="17:25" ht="12.75">
      <c r="Q1736" s="28"/>
      <c r="Y1736" s="28"/>
    </row>
    <row r="1737" spans="17:25" ht="12.75">
      <c r="Q1737" s="28"/>
      <c r="Y1737" s="28"/>
    </row>
    <row r="1738" spans="17:25" ht="12.75">
      <c r="Q1738" s="28"/>
      <c r="Y1738" s="28"/>
    </row>
    <row r="1739" spans="17:25" ht="12.75">
      <c r="Q1739" s="28"/>
      <c r="Y1739" s="28"/>
    </row>
    <row r="1740" spans="17:25" ht="12.75">
      <c r="Q1740" s="28"/>
      <c r="Y1740" s="28"/>
    </row>
    <row r="1741" spans="17:25" ht="12.75">
      <c r="Q1741" s="28"/>
      <c r="Y1741" s="28"/>
    </row>
    <row r="1742" spans="17:25" ht="12.75">
      <c r="Q1742" s="28"/>
      <c r="Y1742" s="28"/>
    </row>
    <row r="1743" spans="17:25" ht="12.75">
      <c r="Q1743" s="28"/>
      <c r="Y1743" s="28"/>
    </row>
    <row r="1744" spans="17:25" ht="12.75">
      <c r="Q1744" s="28"/>
      <c r="Y1744" s="28"/>
    </row>
    <row r="1745" spans="17:25" ht="12.75">
      <c r="Q1745" s="28"/>
      <c r="Y1745" s="28"/>
    </row>
    <row r="1746" spans="17:25" ht="12.75">
      <c r="Q1746" s="28"/>
      <c r="Y1746" s="28"/>
    </row>
    <row r="1747" spans="17:25" ht="12.75">
      <c r="Q1747" s="28"/>
      <c r="Y1747" s="28"/>
    </row>
    <row r="1748" spans="17:25" ht="12.75">
      <c r="Q1748" s="28"/>
      <c r="Y1748" s="28"/>
    </row>
    <row r="1749" spans="17:25" ht="12.75">
      <c r="Q1749" s="28"/>
      <c r="Y1749" s="28"/>
    </row>
    <row r="1750" spans="17:25" ht="12.75">
      <c r="Q1750" s="28"/>
      <c r="Y1750" s="28"/>
    </row>
    <row r="1751" spans="17:25" ht="12.75">
      <c r="Q1751" s="28"/>
      <c r="Y1751" s="28"/>
    </row>
    <row r="1752" spans="17:25" ht="12.75">
      <c r="Q1752" s="28"/>
      <c r="Y1752" s="28"/>
    </row>
    <row r="1753" spans="17:25" ht="12.75">
      <c r="Q1753" s="28"/>
      <c r="Y1753" s="28"/>
    </row>
    <row r="1754" spans="17:25" ht="12.75">
      <c r="Q1754" s="28"/>
      <c r="Y1754" s="28"/>
    </row>
    <row r="1755" spans="17:25" ht="12.75">
      <c r="Q1755" s="28"/>
      <c r="Y1755" s="28"/>
    </row>
    <row r="1756" spans="17:25" ht="12.75">
      <c r="Q1756" s="28"/>
      <c r="Y1756" s="28"/>
    </row>
    <row r="1757" spans="17:25" ht="12.75">
      <c r="Q1757" s="28"/>
      <c r="Y1757" s="28"/>
    </row>
    <row r="1758" spans="17:25" ht="12.75">
      <c r="Q1758" s="28"/>
      <c r="Y1758" s="28"/>
    </row>
    <row r="1759" spans="17:25" ht="12.75">
      <c r="Q1759" s="28"/>
      <c r="Y1759" s="28"/>
    </row>
    <row r="1760" spans="17:25" ht="12.75">
      <c r="Q1760" s="28"/>
      <c r="Y1760" s="28"/>
    </row>
    <row r="1761" spans="17:25" ht="12.75">
      <c r="Q1761" s="28"/>
      <c r="Y1761" s="28"/>
    </row>
    <row r="1762" spans="17:25" ht="12.75">
      <c r="Q1762" s="28"/>
      <c r="Y1762" s="28"/>
    </row>
    <row r="1763" spans="17:25" ht="12.75">
      <c r="Q1763" s="28"/>
      <c r="Y1763" s="28"/>
    </row>
    <row r="1764" spans="17:25" ht="12.75">
      <c r="Q1764" s="28"/>
      <c r="Y1764" s="28"/>
    </row>
    <row r="1765" spans="17:25" ht="12.75">
      <c r="Q1765" s="28"/>
      <c r="Y1765" s="28"/>
    </row>
    <row r="1766" spans="17:25" ht="12.75">
      <c r="Q1766" s="28"/>
      <c r="Y1766" s="28"/>
    </row>
    <row r="1767" spans="17:25" ht="12.75">
      <c r="Q1767" s="28"/>
      <c r="Y1767" s="28"/>
    </row>
    <row r="1768" spans="17:25" ht="12.75">
      <c r="Q1768" s="28"/>
      <c r="Y1768" s="28"/>
    </row>
    <row r="1769" spans="17:25" ht="12.75">
      <c r="Q1769" s="28"/>
      <c r="Y1769" s="28"/>
    </row>
    <row r="1770" spans="17:25" ht="12.75">
      <c r="Q1770" s="28"/>
      <c r="Y1770" s="28"/>
    </row>
    <row r="1771" spans="17:25" ht="12.75">
      <c r="Q1771" s="28"/>
      <c r="Y1771" s="28"/>
    </row>
    <row r="1772" spans="17:25" ht="12.75">
      <c r="Q1772" s="28"/>
      <c r="Y1772" s="28"/>
    </row>
    <row r="1773" spans="17:25" ht="12.75">
      <c r="Q1773" s="28"/>
      <c r="Y1773" s="28"/>
    </row>
    <row r="1774" spans="17:25" ht="12.75">
      <c r="Q1774" s="28"/>
      <c r="Y1774" s="28"/>
    </row>
    <row r="1775" spans="17:25" ht="12.75">
      <c r="Q1775" s="28"/>
      <c r="Y1775" s="28"/>
    </row>
    <row r="1776" spans="17:25" ht="12.75">
      <c r="Q1776" s="28"/>
      <c r="Y1776" s="28"/>
    </row>
    <row r="1777" spans="17:25" ht="12.75">
      <c r="Q1777" s="28"/>
      <c r="Y1777" s="28"/>
    </row>
    <row r="1778" spans="17:25" ht="12.75">
      <c r="Q1778" s="28"/>
      <c r="Y1778" s="28"/>
    </row>
    <row r="1779" spans="17:25" ht="12.75">
      <c r="Q1779" s="28"/>
      <c r="Y1779" s="28"/>
    </row>
    <row r="1780" spans="17:25" ht="12.75">
      <c r="Q1780" s="28"/>
      <c r="Y1780" s="28"/>
    </row>
    <row r="1781" spans="17:25" ht="12.75">
      <c r="Q1781" s="28"/>
      <c r="Y1781" s="28"/>
    </row>
    <row r="1782" spans="17:25" ht="12.75">
      <c r="Q1782" s="28"/>
      <c r="Y1782" s="28"/>
    </row>
    <row r="1783" spans="17:25" ht="12.75">
      <c r="Q1783" s="28"/>
      <c r="Y1783" s="28"/>
    </row>
    <row r="1784" spans="17:25" ht="12.75">
      <c r="Q1784" s="28"/>
      <c r="Y1784" s="28"/>
    </row>
    <row r="1785" spans="17:25" ht="12.75">
      <c r="Q1785" s="28"/>
      <c r="Y1785" s="28"/>
    </row>
    <row r="1786" spans="17:25" ht="12.75">
      <c r="Q1786" s="28"/>
      <c r="Y1786" s="28"/>
    </row>
    <row r="1787" spans="17:25" ht="12.75">
      <c r="Q1787" s="28"/>
      <c r="Y1787" s="28"/>
    </row>
    <row r="1788" spans="17:25" ht="12.75">
      <c r="Q1788" s="28"/>
      <c r="Y1788" s="28"/>
    </row>
    <row r="1789" spans="17:25" ht="12.75">
      <c r="Q1789" s="28"/>
      <c r="Y1789" s="28"/>
    </row>
    <row r="1790" spans="17:25" ht="12.75">
      <c r="Q1790" s="28"/>
      <c r="Y1790" s="28"/>
    </row>
    <row r="1791" spans="17:25" ht="12.75">
      <c r="Q1791" s="28"/>
      <c r="Y1791" s="28"/>
    </row>
    <row r="1792" spans="17:25" ht="12.75">
      <c r="Q1792" s="28"/>
      <c r="Y1792" s="28"/>
    </row>
    <row r="1793" spans="17:25" ht="12.75">
      <c r="Q1793" s="28"/>
      <c r="Y1793" s="28"/>
    </row>
    <row r="1794" spans="17:25" ht="12.75">
      <c r="Q1794" s="28"/>
      <c r="Y1794" s="28"/>
    </row>
    <row r="1795" spans="17:25" ht="12.75">
      <c r="Q1795" s="28"/>
      <c r="Y1795" s="28"/>
    </row>
    <row r="1796" spans="17:25" ht="12.75">
      <c r="Q1796" s="28"/>
      <c r="Y1796" s="28"/>
    </row>
    <row r="1797" spans="17:25" ht="12.75">
      <c r="Q1797" s="28"/>
      <c r="Y1797" s="28"/>
    </row>
    <row r="1798" spans="17:25" ht="12.75">
      <c r="Q1798" s="28"/>
      <c r="Y1798" s="28"/>
    </row>
    <row r="1799" spans="17:25" ht="12.75">
      <c r="Q1799" s="28"/>
      <c r="Y1799" s="28"/>
    </row>
    <row r="1800" spans="17:25" ht="12.75">
      <c r="Q1800" s="28"/>
      <c r="Y1800" s="28"/>
    </row>
    <row r="1801" spans="17:25" ht="12.75">
      <c r="Q1801" s="28"/>
      <c r="Y1801" s="28"/>
    </row>
    <row r="1802" spans="17:25" ht="12.75">
      <c r="Q1802" s="28"/>
      <c r="Y1802" s="28"/>
    </row>
    <row r="1803" spans="17:25" ht="12.75">
      <c r="Q1803" s="28"/>
      <c r="Y1803" s="28"/>
    </row>
    <row r="1804" spans="17:25" ht="12.75">
      <c r="Q1804" s="28"/>
      <c r="Y1804" s="28"/>
    </row>
    <row r="1805" spans="17:25" ht="12.75">
      <c r="Q1805" s="28"/>
      <c r="Y1805" s="28"/>
    </row>
    <row r="1806" spans="17:25" ht="12.75">
      <c r="Q1806" s="28"/>
      <c r="Y1806" s="28"/>
    </row>
    <row r="1807" spans="17:25" ht="12.75">
      <c r="Q1807" s="28"/>
      <c r="Y1807" s="28"/>
    </row>
    <row r="1808" spans="17:25" ht="12.75">
      <c r="Q1808" s="28"/>
      <c r="Y1808" s="28"/>
    </row>
    <row r="1809" spans="17:25" ht="12.75">
      <c r="Q1809" s="28"/>
      <c r="Y1809" s="28"/>
    </row>
    <row r="1810" spans="17:25" ht="12.75">
      <c r="Q1810" s="28"/>
      <c r="Y1810" s="28"/>
    </row>
    <row r="1811" spans="17:25" ht="12.75">
      <c r="Q1811" s="28"/>
      <c r="Y1811" s="28"/>
    </row>
    <row r="1812" spans="17:25" ht="12.75">
      <c r="Q1812" s="28"/>
      <c r="Y1812" s="28"/>
    </row>
    <row r="1813" spans="17:25" ht="12.75">
      <c r="Q1813" s="28"/>
      <c r="Y1813" s="28"/>
    </row>
    <row r="1814" spans="17:25" ht="12.75">
      <c r="Q1814" s="28"/>
      <c r="Y1814" s="28"/>
    </row>
    <row r="1815" spans="17:25" ht="12.75">
      <c r="Q1815" s="28"/>
      <c r="Y1815" s="28"/>
    </row>
    <row r="1816" spans="17:25" ht="12.75">
      <c r="Q1816" s="28"/>
      <c r="Y1816" s="28"/>
    </row>
    <row r="1817" spans="17:25" ht="12.75">
      <c r="Q1817" s="28"/>
      <c r="Y1817" s="28"/>
    </row>
    <row r="1818" spans="17:25" ht="12.75">
      <c r="Q1818" s="28"/>
      <c r="Y1818" s="28"/>
    </row>
    <row r="1819" spans="17:25" ht="12.75">
      <c r="Q1819" s="28"/>
      <c r="Y1819" s="28"/>
    </row>
    <row r="1820" spans="17:25" ht="12.75">
      <c r="Q1820" s="28"/>
      <c r="Y1820" s="28"/>
    </row>
    <row r="1821" spans="17:25" ht="12.75">
      <c r="Q1821" s="28"/>
      <c r="Y1821" s="28"/>
    </row>
    <row r="1822" spans="17:25" ht="12.75">
      <c r="Q1822" s="28"/>
      <c r="Y1822" s="28"/>
    </row>
    <row r="1823" spans="17:25" ht="12.75">
      <c r="Q1823" s="28"/>
      <c r="Y1823" s="28"/>
    </row>
    <row r="1824" spans="17:25" ht="12.75">
      <c r="Q1824" s="28"/>
      <c r="Y1824" s="28"/>
    </row>
    <row r="1825" spans="17:25" ht="12.75">
      <c r="Q1825" s="28"/>
      <c r="Y1825" s="28"/>
    </row>
    <row r="1826" spans="17:25" ht="12.75">
      <c r="Q1826" s="28"/>
      <c r="Y1826" s="28"/>
    </row>
    <row r="1827" spans="17:25" ht="12.75">
      <c r="Q1827" s="28"/>
      <c r="Y1827" s="28"/>
    </row>
    <row r="1828" spans="17:25" ht="12.75">
      <c r="Q1828" s="28"/>
      <c r="Y1828" s="28"/>
    </row>
    <row r="1829" spans="17:25" ht="12.75">
      <c r="Q1829" s="28"/>
      <c r="Y1829" s="28"/>
    </row>
    <row r="1830" spans="17:25" ht="12.75">
      <c r="Q1830" s="28"/>
      <c r="Y1830" s="28"/>
    </row>
    <row r="1831" spans="17:25" ht="12.75">
      <c r="Q1831" s="28"/>
      <c r="Y1831" s="28"/>
    </row>
    <row r="1832" spans="17:25" ht="12.75">
      <c r="Q1832" s="28"/>
      <c r="Y1832" s="28"/>
    </row>
    <row r="1833" spans="17:25" ht="12.75">
      <c r="Q1833" s="28"/>
      <c r="Y1833" s="28"/>
    </row>
    <row r="1834" spans="17:25" ht="12.75">
      <c r="Q1834" s="28"/>
      <c r="Y1834" s="28"/>
    </row>
    <row r="1835" spans="17:25" ht="12.75">
      <c r="Q1835" s="28"/>
      <c r="Y1835" s="28"/>
    </row>
    <row r="1836" spans="17:25" ht="12.75">
      <c r="Q1836" s="28"/>
      <c r="Y1836" s="28"/>
    </row>
    <row r="1837" spans="17:25" ht="12.75">
      <c r="Q1837" s="28"/>
      <c r="Y1837" s="28"/>
    </row>
    <row r="1838" spans="17:25" ht="12.75">
      <c r="Q1838" s="28"/>
      <c r="Y1838" s="28"/>
    </row>
    <row r="1839" spans="17:25" ht="12.75">
      <c r="Q1839" s="28"/>
      <c r="Y1839" s="28"/>
    </row>
    <row r="1840" spans="17:25" ht="12.75">
      <c r="Q1840" s="28"/>
      <c r="Y1840" s="28"/>
    </row>
    <row r="1841" spans="17:25" ht="12.75">
      <c r="Q1841" s="28"/>
      <c r="Y1841" s="28"/>
    </row>
    <row r="1842" spans="17:25" ht="12.75">
      <c r="Q1842" s="28"/>
      <c r="Y1842" s="28"/>
    </row>
    <row r="1843" spans="17:25" ht="12.75">
      <c r="Q1843" s="28"/>
      <c r="Y1843" s="28"/>
    </row>
    <row r="1844" spans="17:25" ht="12.75">
      <c r="Q1844" s="28"/>
      <c r="Y1844" s="28"/>
    </row>
    <row r="1845" spans="17:25" ht="12.75">
      <c r="Q1845" s="28"/>
      <c r="Y1845" s="28"/>
    </row>
    <row r="1846" spans="17:25" ht="12.75">
      <c r="Q1846" s="28"/>
      <c r="Y1846" s="28"/>
    </row>
    <row r="1847" spans="17:25" ht="12.75">
      <c r="Q1847" s="28"/>
      <c r="Y1847" s="28"/>
    </row>
    <row r="1848" spans="17:25" ht="12.75">
      <c r="Q1848" s="28"/>
      <c r="Y1848" s="28"/>
    </row>
    <row r="1849" spans="17:25" ht="12.75">
      <c r="Q1849" s="28"/>
      <c r="Y1849" s="28"/>
    </row>
    <row r="1850" spans="17:25" ht="12.75">
      <c r="Q1850" s="28"/>
      <c r="Y1850" s="28"/>
    </row>
    <row r="1851" spans="17:25" ht="12.75">
      <c r="Q1851" s="28"/>
      <c r="Y1851" s="28"/>
    </row>
    <row r="1852" spans="17:25" ht="12.75">
      <c r="Q1852" s="28"/>
      <c r="Y1852" s="28"/>
    </row>
    <row r="1853" spans="17:25" ht="12.75">
      <c r="Q1853" s="28"/>
      <c r="Y1853" s="28"/>
    </row>
    <row r="1854" spans="17:25" ht="12.75">
      <c r="Q1854" s="28"/>
      <c r="Y1854" s="28"/>
    </row>
    <row r="1855" spans="17:25" ht="12.75">
      <c r="Q1855" s="28"/>
      <c r="Y1855" s="28"/>
    </row>
    <row r="1856" spans="17:25" ht="12.75">
      <c r="Q1856" s="28"/>
      <c r="Y1856" s="28"/>
    </row>
    <row r="1857" spans="17:25" ht="12.75">
      <c r="Q1857" s="28"/>
      <c r="Y1857" s="28"/>
    </row>
    <row r="1858" spans="17:25" ht="12.75">
      <c r="Q1858" s="28"/>
      <c r="Y1858" s="28"/>
    </row>
    <row r="1859" spans="17:25" ht="12.75">
      <c r="Q1859" s="28"/>
      <c r="Y1859" s="28"/>
    </row>
    <row r="1860" spans="17:25" ht="12.75">
      <c r="Q1860" s="28"/>
      <c r="Y1860" s="28"/>
    </row>
    <row r="1861" spans="17:25" ht="12.75">
      <c r="Q1861" s="28"/>
      <c r="Y1861" s="28"/>
    </row>
    <row r="1862" spans="17:25" ht="12.75">
      <c r="Q1862" s="28"/>
      <c r="Y1862" s="28"/>
    </row>
    <row r="1863" spans="17:25" ht="12.75">
      <c r="Q1863" s="28"/>
      <c r="Y1863" s="28"/>
    </row>
    <row r="1864" spans="17:25" ht="12.75">
      <c r="Q1864" s="28"/>
      <c r="Y1864" s="28"/>
    </row>
    <row r="1865" spans="17:25" ht="12.75">
      <c r="Q1865" s="28"/>
      <c r="Y1865" s="28"/>
    </row>
    <row r="1866" spans="17:25" ht="12.75">
      <c r="Q1866" s="28"/>
      <c r="Y1866" s="28"/>
    </row>
    <row r="1867" spans="17:25" ht="12.75">
      <c r="Q1867" s="28"/>
      <c r="Y1867" s="28"/>
    </row>
    <row r="1868" spans="17:25" ht="12.75">
      <c r="Q1868" s="28"/>
      <c r="Y1868" s="28"/>
    </row>
    <row r="1869" spans="17:25" ht="12.75">
      <c r="Q1869" s="28"/>
      <c r="Y1869" s="28"/>
    </row>
    <row r="1870" spans="17:25" ht="12.75">
      <c r="Q1870" s="28"/>
      <c r="Y1870" s="28"/>
    </row>
    <row r="1871" spans="17:25" ht="12.75">
      <c r="Q1871" s="28"/>
      <c r="Y1871" s="28"/>
    </row>
    <row r="1872" spans="17:25" ht="12.75">
      <c r="Q1872" s="28"/>
      <c r="Y1872" s="28"/>
    </row>
    <row r="1873" spans="17:25" ht="12.75">
      <c r="Q1873" s="28"/>
      <c r="Y1873" s="28"/>
    </row>
    <row r="1874" spans="17:25" ht="12.75">
      <c r="Q1874" s="28"/>
      <c r="Y1874" s="28"/>
    </row>
    <row r="1875" spans="17:25" ht="12.75">
      <c r="Q1875" s="28"/>
      <c r="Y1875" s="28"/>
    </row>
    <row r="1876" spans="17:25" ht="12.75">
      <c r="Q1876" s="28"/>
      <c r="Y1876" s="28"/>
    </row>
    <row r="1877" spans="17:25" ht="12.75">
      <c r="Q1877" s="28"/>
      <c r="Y1877" s="28"/>
    </row>
    <row r="1878" spans="17:25" ht="12.75">
      <c r="Q1878" s="28"/>
      <c r="Y1878" s="28"/>
    </row>
    <row r="1879" spans="17:25" ht="12.75">
      <c r="Q1879" s="28"/>
      <c r="Y1879" s="28"/>
    </row>
    <row r="1880" spans="17:25" ht="12.75">
      <c r="Q1880" s="28"/>
      <c r="Y1880" s="28"/>
    </row>
    <row r="1881" spans="17:25" ht="12.75">
      <c r="Q1881" s="28"/>
      <c r="Y1881" s="28"/>
    </row>
    <row r="1882" spans="17:25" ht="12.75">
      <c r="Q1882" s="28"/>
      <c r="Y1882" s="28"/>
    </row>
    <row r="1883" spans="17:25" ht="12.75">
      <c r="Q1883" s="28"/>
      <c r="Y1883" s="28"/>
    </row>
    <row r="1884" spans="17:25" ht="12.75">
      <c r="Q1884" s="28"/>
      <c r="Y1884" s="28"/>
    </row>
    <row r="1885" spans="17:25" ht="12.75">
      <c r="Q1885" s="28"/>
      <c r="Y1885" s="28"/>
    </row>
    <row r="1886" spans="17:25" ht="12.75">
      <c r="Q1886" s="28"/>
      <c r="Y1886" s="28"/>
    </row>
    <row r="1887" spans="17:25" ht="12.75">
      <c r="Q1887" s="28"/>
      <c r="Y1887" s="28"/>
    </row>
    <row r="1888" spans="17:25" ht="12.75">
      <c r="Q1888" s="28"/>
      <c r="Y1888" s="28"/>
    </row>
    <row r="1889" spans="17:25" ht="12.75">
      <c r="Q1889" s="28"/>
      <c r="Y1889" s="28"/>
    </row>
    <row r="1890" spans="17:25" ht="12.75">
      <c r="Q1890" s="28"/>
      <c r="Y1890" s="28"/>
    </row>
    <row r="1891" spans="17:25" ht="12.75">
      <c r="Q1891" s="28"/>
      <c r="Y1891" s="28"/>
    </row>
    <row r="1892" spans="17:25" ht="12.75">
      <c r="Q1892" s="28"/>
      <c r="Y1892" s="28"/>
    </row>
    <row r="1893" spans="17:25" ht="12.75">
      <c r="Q1893" s="28"/>
      <c r="Y1893" s="28"/>
    </row>
    <row r="1894" spans="17:25" ht="12.75">
      <c r="Q1894" s="28"/>
      <c r="Y1894" s="28"/>
    </row>
    <row r="1895" spans="17:25" ht="12.75">
      <c r="Q1895" s="28"/>
      <c r="Y1895" s="28"/>
    </row>
    <row r="1896" spans="17:25" ht="12.75">
      <c r="Q1896" s="28"/>
      <c r="Y1896" s="28"/>
    </row>
    <row r="1897" spans="17:25" ht="12.75">
      <c r="Q1897" s="28"/>
      <c r="Y1897" s="28"/>
    </row>
    <row r="1898" spans="17:25" ht="12.75">
      <c r="Q1898" s="28"/>
      <c r="Y1898" s="28"/>
    </row>
    <row r="1899" spans="17:25" ht="12.75">
      <c r="Q1899" s="28"/>
      <c r="Y1899" s="28"/>
    </row>
    <row r="1900" spans="17:25" ht="12.75">
      <c r="Q1900" s="28"/>
      <c r="Y1900" s="28"/>
    </row>
    <row r="1901" spans="17:25" ht="12.75">
      <c r="Q1901" s="28"/>
      <c r="Y1901" s="28"/>
    </row>
    <row r="1902" spans="17:25" ht="12.75">
      <c r="Q1902" s="28"/>
      <c r="Y1902" s="28"/>
    </row>
    <row r="1903" spans="17:25" ht="12.75">
      <c r="Q1903" s="28"/>
      <c r="Y1903" s="28"/>
    </row>
    <row r="1904" spans="17:25" ht="12.75">
      <c r="Q1904" s="28"/>
      <c r="Y1904" s="28"/>
    </row>
    <row r="1905" spans="17:25" ht="12.75">
      <c r="Q1905" s="28"/>
      <c r="Y1905" s="28"/>
    </row>
    <row r="1906" spans="17:25" ht="12.75">
      <c r="Q1906" s="28"/>
      <c r="Y1906" s="28"/>
    </row>
    <row r="1907" spans="17:25" ht="12.75">
      <c r="Q1907" s="28"/>
      <c r="Y1907" s="28"/>
    </row>
    <row r="1908" spans="17:25" ht="12.75">
      <c r="Q1908" s="28"/>
      <c r="Y1908" s="28"/>
    </row>
    <row r="1909" spans="17:25" ht="12.75">
      <c r="Q1909" s="28"/>
      <c r="Y1909" s="28"/>
    </row>
    <row r="1910" spans="17:25" ht="12.75">
      <c r="Q1910" s="28"/>
      <c r="Y1910" s="28"/>
    </row>
    <row r="1911" spans="17:25" ht="12.75">
      <c r="Q1911" s="28"/>
      <c r="Y1911" s="28"/>
    </row>
    <row r="1912" spans="17:25" ht="12.75">
      <c r="Q1912" s="28"/>
      <c r="Y1912" s="28"/>
    </row>
    <row r="1913" spans="17:25" ht="12.75">
      <c r="Q1913" s="28"/>
      <c r="Y1913" s="28"/>
    </row>
    <row r="1914" spans="17:25" ht="12.75">
      <c r="Q1914" s="28"/>
      <c r="Y1914" s="28"/>
    </row>
    <row r="1915" spans="17:25" ht="12.75">
      <c r="Q1915" s="28"/>
      <c r="Y1915" s="28"/>
    </row>
    <row r="1916" spans="17:25" ht="12.75">
      <c r="Q1916" s="28"/>
      <c r="Y1916" s="28"/>
    </row>
    <row r="1917" spans="17:25" ht="12.75">
      <c r="Q1917" s="28"/>
      <c r="Y1917" s="28"/>
    </row>
    <row r="1918" spans="17:25" ht="12.75">
      <c r="Q1918" s="28"/>
      <c r="Y1918" s="28"/>
    </row>
    <row r="1919" spans="17:25" ht="12.75">
      <c r="Q1919" s="28"/>
      <c r="Y1919" s="28"/>
    </row>
    <row r="1920" spans="17:25" ht="12.75">
      <c r="Q1920" s="28"/>
      <c r="Y1920" s="28"/>
    </row>
    <row r="1921" spans="17:25" ht="12.75">
      <c r="Q1921" s="28"/>
      <c r="Y1921" s="28"/>
    </row>
    <row r="1922" spans="17:25" ht="12.75">
      <c r="Q1922" s="28"/>
      <c r="Y1922" s="28"/>
    </row>
    <row r="1923" spans="17:25" ht="12.75">
      <c r="Q1923" s="28"/>
      <c r="Y1923" s="28"/>
    </row>
    <row r="1924" spans="17:25" ht="12.75">
      <c r="Q1924" s="28"/>
      <c r="Y1924" s="28"/>
    </row>
    <row r="1925" spans="17:25" ht="12.75">
      <c r="Q1925" s="28"/>
      <c r="Y1925" s="28"/>
    </row>
    <row r="1926" spans="17:25" ht="12.75">
      <c r="Q1926" s="28"/>
      <c r="Y1926" s="28"/>
    </row>
    <row r="1927" spans="17:25" ht="12.75">
      <c r="Q1927" s="28"/>
      <c r="Y1927" s="28"/>
    </row>
    <row r="1928" spans="17:25" ht="12.75">
      <c r="Q1928" s="28"/>
      <c r="Y1928" s="28"/>
    </row>
    <row r="1929" spans="17:25" ht="12.75">
      <c r="Q1929" s="28"/>
      <c r="Y1929" s="28"/>
    </row>
    <row r="1930" spans="17:25" ht="12.75">
      <c r="Q1930" s="28"/>
      <c r="Y1930" s="28"/>
    </row>
    <row r="1931" spans="17:25" ht="12.75">
      <c r="Q1931" s="28"/>
      <c r="Y1931" s="28"/>
    </row>
    <row r="1932" spans="17:25" ht="12.75">
      <c r="Q1932" s="28"/>
      <c r="Y1932" s="28"/>
    </row>
    <row r="1933" spans="17:25" ht="12.75">
      <c r="Q1933" s="28"/>
      <c r="Y1933" s="28"/>
    </row>
    <row r="1934" spans="17:25" ht="12.75">
      <c r="Q1934" s="28"/>
      <c r="Y1934" s="28"/>
    </row>
    <row r="1935" spans="17:25" ht="12.75">
      <c r="Q1935" s="28"/>
      <c r="Y1935" s="28"/>
    </row>
    <row r="1936" spans="17:25" ht="12.75">
      <c r="Q1936" s="28"/>
      <c r="Y1936" s="28"/>
    </row>
    <row r="1937" spans="17:25" ht="12.75">
      <c r="Q1937" s="28"/>
      <c r="Y1937" s="28"/>
    </row>
    <row r="1938" spans="17:25" ht="12.75">
      <c r="Q1938" s="28"/>
      <c r="Y1938" s="28"/>
    </row>
    <row r="1939" spans="17:25" ht="12.75">
      <c r="Q1939" s="28"/>
      <c r="Y1939" s="28"/>
    </row>
    <row r="1940" spans="17:25" ht="12.75">
      <c r="Q1940" s="28"/>
      <c r="Y1940" s="28"/>
    </row>
    <row r="1941" spans="17:25" ht="12.75">
      <c r="Q1941" s="28"/>
      <c r="Y1941" s="28"/>
    </row>
    <row r="1942" spans="17:25" ht="12.75">
      <c r="Q1942" s="28"/>
      <c r="Y1942" s="28"/>
    </row>
    <row r="1943" spans="17:25" ht="12.75">
      <c r="Q1943" s="28"/>
      <c r="Y1943" s="28"/>
    </row>
    <row r="1944" spans="17:25" ht="12.75">
      <c r="Q1944" s="28"/>
      <c r="Y1944" s="28"/>
    </row>
    <row r="1945" spans="17:25" ht="12.75">
      <c r="Q1945" s="28"/>
      <c r="Y1945" s="28"/>
    </row>
    <row r="1946" spans="17:25" ht="12.75">
      <c r="Q1946" s="28"/>
      <c r="Y1946" s="28"/>
    </row>
    <row r="1947" spans="17:25" ht="12.75">
      <c r="Q1947" s="28"/>
      <c r="Y1947" s="28"/>
    </row>
    <row r="1948" spans="17:25" ht="12.75">
      <c r="Q1948" s="28"/>
      <c r="Y1948" s="28"/>
    </row>
    <row r="1949" spans="17:25" ht="12.75">
      <c r="Q1949" s="28"/>
      <c r="Y1949" s="28"/>
    </row>
    <row r="1950" spans="17:25" ht="12.75">
      <c r="Q1950" s="28"/>
      <c r="Y1950" s="28"/>
    </row>
    <row r="1951" spans="17:25" ht="12.75">
      <c r="Q1951" s="28"/>
      <c r="Y1951" s="28"/>
    </row>
    <row r="1952" spans="17:25" ht="12.75">
      <c r="Q1952" s="28"/>
      <c r="Y1952" s="28"/>
    </row>
    <row r="1953" spans="17:25" ht="12.75">
      <c r="Q1953" s="28"/>
      <c r="Y1953" s="28"/>
    </row>
    <row r="1954" spans="17:25" ht="12.75">
      <c r="Q1954" s="28"/>
      <c r="Y1954" s="28"/>
    </row>
    <row r="1955" spans="17:25" ht="12.75">
      <c r="Q1955" s="28"/>
      <c r="Y1955" s="28"/>
    </row>
    <row r="1956" spans="17:25" ht="12.75">
      <c r="Q1956" s="28"/>
      <c r="Y1956" s="28"/>
    </row>
    <row r="1957" spans="17:25" ht="12.75">
      <c r="Q1957" s="28"/>
      <c r="Y1957" s="28"/>
    </row>
    <row r="1958" spans="17:25" ht="12.75">
      <c r="Q1958" s="28"/>
      <c r="Y1958" s="28"/>
    </row>
    <row r="1959" spans="17:25" ht="12.75">
      <c r="Q1959" s="28"/>
      <c r="Y1959" s="28"/>
    </row>
    <row r="1960" spans="17:25" ht="12.75">
      <c r="Q1960" s="28"/>
      <c r="Y1960" s="28"/>
    </row>
    <row r="1961" spans="17:25" ht="12.75">
      <c r="Q1961" s="28"/>
      <c r="Y1961" s="28"/>
    </row>
    <row r="1962" spans="17:25" ht="12.75">
      <c r="Q1962" s="28"/>
      <c r="Y1962" s="28"/>
    </row>
    <row r="1963" spans="17:25" ht="12.75">
      <c r="Q1963" s="28"/>
      <c r="Y1963" s="28"/>
    </row>
    <row r="1964" spans="17:25" ht="12.75">
      <c r="Q1964" s="28"/>
      <c r="Y1964" s="28"/>
    </row>
    <row r="1965" spans="17:25" ht="12.75">
      <c r="Q1965" s="28"/>
      <c r="Y1965" s="28"/>
    </row>
    <row r="1966" spans="17:25" ht="12.75">
      <c r="Q1966" s="28"/>
      <c r="Y1966" s="28"/>
    </row>
    <row r="1967" spans="17:25" ht="12.75">
      <c r="Q1967" s="28"/>
      <c r="Y1967" s="28"/>
    </row>
    <row r="1968" spans="17:25" ht="12.75">
      <c r="Q1968" s="28"/>
      <c r="Y1968" s="28"/>
    </row>
    <row r="1969" spans="17:25" ht="12.75">
      <c r="Q1969" s="28"/>
      <c r="Y1969" s="28"/>
    </row>
    <row r="1970" spans="17:25" ht="12.75">
      <c r="Q1970" s="28"/>
      <c r="Y1970" s="28"/>
    </row>
    <row r="1971" spans="17:25" ht="12.75">
      <c r="Q1971" s="28"/>
      <c r="Y1971" s="28"/>
    </row>
    <row r="1972" spans="17:25" ht="12.75">
      <c r="Q1972" s="28"/>
      <c r="Y1972" s="28"/>
    </row>
    <row r="1973" spans="17:25" ht="12.75">
      <c r="Q1973" s="28"/>
      <c r="Y1973" s="28"/>
    </row>
    <row r="1974" spans="17:25" ht="12.75">
      <c r="Q1974" s="28"/>
      <c r="Y1974" s="28"/>
    </row>
    <row r="1975" spans="17:25" ht="12.75">
      <c r="Q1975" s="28"/>
      <c r="Y1975" s="28"/>
    </row>
    <row r="1976" spans="17:25" ht="12.75">
      <c r="Q1976" s="28"/>
      <c r="Y1976" s="28"/>
    </row>
    <row r="1977" spans="17:25" ht="12.75">
      <c r="Q1977" s="28"/>
      <c r="Y1977" s="28"/>
    </row>
    <row r="1978" spans="17:25" ht="12.75">
      <c r="Q1978" s="28"/>
      <c r="Y1978" s="28"/>
    </row>
    <row r="1979" spans="17:25" ht="12.75">
      <c r="Q1979" s="28"/>
      <c r="Y1979" s="28"/>
    </row>
    <row r="1980" spans="17:25" ht="12.75">
      <c r="Q1980" s="28"/>
      <c r="Y1980" s="28"/>
    </row>
    <row r="1981" spans="17:25" ht="12.75">
      <c r="Q1981" s="28"/>
      <c r="Y1981" s="28"/>
    </row>
    <row r="1982" spans="17:25" ht="12.75">
      <c r="Q1982" s="28"/>
      <c r="Y1982" s="28"/>
    </row>
    <row r="1983" spans="17:25" ht="12.75">
      <c r="Q1983" s="28"/>
      <c r="Y1983" s="28"/>
    </row>
    <row r="1984" spans="17:25" ht="12.75">
      <c r="Q1984" s="28"/>
      <c r="Y1984" s="28"/>
    </row>
    <row r="1985" spans="17:25" ht="12.75">
      <c r="Q1985" s="28"/>
      <c r="Y1985" s="28"/>
    </row>
    <row r="1986" spans="17:25" ht="12.75">
      <c r="Q1986" s="28"/>
      <c r="Y1986" s="28"/>
    </row>
    <row r="1987" spans="17:25" ht="12.75">
      <c r="Q1987" s="28"/>
      <c r="Y1987" s="28"/>
    </row>
    <row r="1988" spans="17:25" ht="12.75">
      <c r="Q1988" s="28"/>
      <c r="Y1988" s="28"/>
    </row>
    <row r="1989" spans="17:25" ht="12.75">
      <c r="Q1989" s="28"/>
      <c r="Y1989" s="28"/>
    </row>
    <row r="1990" spans="17:25" ht="12.75">
      <c r="Q1990" s="28"/>
      <c r="Y1990" s="28"/>
    </row>
    <row r="1991" spans="17:25" ht="12.75">
      <c r="Q1991" s="28"/>
      <c r="Y1991" s="28"/>
    </row>
    <row r="1992" spans="17:25" ht="12.75">
      <c r="Q1992" s="28"/>
      <c r="Y1992" s="28"/>
    </row>
    <row r="1993" spans="17:25" ht="12.75">
      <c r="Q1993" s="28"/>
      <c r="Y1993" s="28"/>
    </row>
    <row r="1994" spans="17:25" ht="12.75">
      <c r="Q1994" s="28"/>
      <c r="Y1994" s="28"/>
    </row>
    <row r="1995" spans="17:25" ht="12.75">
      <c r="Q1995" s="28"/>
      <c r="Y1995" s="28"/>
    </row>
    <row r="1996" spans="17:25" ht="12.75">
      <c r="Q1996" s="28"/>
      <c r="Y1996" s="28"/>
    </row>
    <row r="1997" spans="17:25" ht="12.75">
      <c r="Q1997" s="28"/>
      <c r="Y1997" s="28"/>
    </row>
    <row r="1998" spans="17:25" ht="12.75">
      <c r="Q1998" s="28"/>
      <c r="Y1998" s="28"/>
    </row>
    <row r="1999" spans="17:25" ht="12.75">
      <c r="Q1999" s="28"/>
      <c r="Y1999" s="28"/>
    </row>
    <row r="2000" spans="17:25" ht="12.75">
      <c r="Q2000" s="28"/>
      <c r="Y2000" s="28"/>
    </row>
    <row r="2001" spans="17:25" ht="12.75">
      <c r="Q2001" s="28"/>
      <c r="Y2001" s="28"/>
    </row>
    <row r="2002" spans="17:25" ht="12.75">
      <c r="Q2002" s="28"/>
      <c r="Y2002" s="28"/>
    </row>
    <row r="2003" spans="17:25" ht="12.75">
      <c r="Q2003" s="28"/>
      <c r="Y2003" s="28"/>
    </row>
    <row r="2004" spans="17:25" ht="12.75">
      <c r="Q2004" s="28"/>
      <c r="Y2004" s="28"/>
    </row>
    <row r="2005" spans="17:25" ht="12.75">
      <c r="Q2005" s="28"/>
      <c r="Y2005" s="28"/>
    </row>
    <row r="2006" spans="17:25" ht="12.75">
      <c r="Q2006" s="28"/>
      <c r="Y2006" s="28"/>
    </row>
    <row r="2007" spans="17:25" ht="12.75">
      <c r="Q2007" s="28"/>
      <c r="Y2007" s="28"/>
    </row>
    <row r="2008" spans="17:25" ht="12.75">
      <c r="Q2008" s="28"/>
      <c r="Y2008" s="28"/>
    </row>
    <row r="2009" spans="17:25" ht="12.75">
      <c r="Q2009" s="28"/>
      <c r="Y2009" s="28"/>
    </row>
    <row r="2010" spans="17:25" ht="12.75">
      <c r="Q2010" s="28"/>
      <c r="Y2010" s="28"/>
    </row>
    <row r="2011" spans="17:25" ht="12.75">
      <c r="Q2011" s="28"/>
      <c r="Y2011" s="28"/>
    </row>
    <row r="2012" spans="17:25" ht="12.75">
      <c r="Q2012" s="28"/>
      <c r="Y2012" s="28"/>
    </row>
    <row r="2013" spans="17:25" ht="12.75">
      <c r="Q2013" s="28"/>
      <c r="Y2013" s="28"/>
    </row>
    <row r="2014" spans="17:25" ht="12.75">
      <c r="Q2014" s="28"/>
      <c r="Y2014" s="28"/>
    </row>
    <row r="2015" spans="17:25" ht="12.75">
      <c r="Q2015" s="28"/>
      <c r="Y2015" s="28"/>
    </row>
    <row r="2016" spans="17:25" ht="12.75">
      <c r="Q2016" s="28"/>
      <c r="Y2016" s="28"/>
    </row>
    <row r="2017" spans="17:25" ht="12.75">
      <c r="Q2017" s="28"/>
      <c r="Y2017" s="28"/>
    </row>
    <row r="2018" spans="17:25" ht="12.75">
      <c r="Q2018" s="28"/>
      <c r="Y2018" s="28"/>
    </row>
    <row r="2019" spans="17:25" ht="12.75">
      <c r="Q2019" s="28"/>
      <c r="Y2019" s="28"/>
    </row>
    <row r="2020" spans="17:25" ht="12.75">
      <c r="Q2020" s="28"/>
      <c r="Y2020" s="28"/>
    </row>
    <row r="2021" spans="17:25" ht="12.75">
      <c r="Q2021" s="28"/>
      <c r="Y2021" s="28"/>
    </row>
    <row r="2022" spans="17:25" ht="12.75">
      <c r="Q2022" s="28"/>
      <c r="Y2022" s="28"/>
    </row>
    <row r="2023" spans="17:25" ht="12.75">
      <c r="Q2023" s="28"/>
      <c r="Y2023" s="28"/>
    </row>
    <row r="2024" spans="17:25" ht="12.75">
      <c r="Q2024" s="28"/>
      <c r="Y2024" s="28"/>
    </row>
    <row r="2025" spans="17:25" ht="12.75">
      <c r="Q2025" s="28"/>
      <c r="Y2025" s="28"/>
    </row>
    <row r="2026" spans="17:25" ht="12.75">
      <c r="Q2026" s="28"/>
      <c r="Y2026" s="28"/>
    </row>
    <row r="2027" spans="17:25" ht="12.75">
      <c r="Q2027" s="28"/>
      <c r="Y2027" s="28"/>
    </row>
    <row r="2028" spans="17:25" ht="12.75">
      <c r="Q2028" s="28"/>
      <c r="Y2028" s="28"/>
    </row>
    <row r="2029" spans="17:25" ht="12.75">
      <c r="Q2029" s="28"/>
      <c r="Y2029" s="28"/>
    </row>
    <row r="2030" spans="17:25" ht="12.75">
      <c r="Q2030" s="28"/>
      <c r="Y2030" s="28"/>
    </row>
    <row r="2031" spans="17:25" ht="12.75">
      <c r="Q2031" s="28"/>
      <c r="Y2031" s="28"/>
    </row>
    <row r="2032" spans="17:25" ht="12.75">
      <c r="Q2032" s="28"/>
      <c r="Y2032" s="28"/>
    </row>
    <row r="2033" spans="17:25" ht="12.75">
      <c r="Q2033" s="28"/>
      <c r="Y2033" s="28"/>
    </row>
    <row r="2034" spans="17:25" ht="12.75">
      <c r="Q2034" s="28"/>
      <c r="Y2034" s="28"/>
    </row>
    <row r="2035" spans="17:25" ht="12.75">
      <c r="Q2035" s="28"/>
      <c r="Y2035" s="28"/>
    </row>
    <row r="2036" spans="17:25" ht="12.75">
      <c r="Q2036" s="28"/>
      <c r="Y2036" s="28"/>
    </row>
    <row r="2037" spans="17:25" ht="12.75">
      <c r="Q2037" s="28"/>
      <c r="Y2037" s="28"/>
    </row>
    <row r="2038" spans="17:25" ht="12.75">
      <c r="Q2038" s="28"/>
      <c r="Y2038" s="28"/>
    </row>
    <row r="2039" spans="17:25" ht="12.75">
      <c r="Q2039" s="28"/>
      <c r="Y2039" s="28"/>
    </row>
    <row r="2040" spans="17:25" ht="12.75">
      <c r="Q2040" s="28"/>
      <c r="Y2040" s="28"/>
    </row>
    <row r="2041" spans="17:25" ht="12.75">
      <c r="Q2041" s="28"/>
      <c r="Y2041" s="28"/>
    </row>
    <row r="2042" spans="17:25" ht="12.75">
      <c r="Q2042" s="28"/>
      <c r="Y2042" s="28"/>
    </row>
    <row r="2043" spans="17:25" ht="12.75">
      <c r="Q2043" s="28"/>
      <c r="Y2043" s="28"/>
    </row>
    <row r="2044" spans="17:25" ht="12.75">
      <c r="Q2044" s="28"/>
      <c r="Y2044" s="28"/>
    </row>
    <row r="2045" spans="17:25" ht="12.75">
      <c r="Q2045" s="28"/>
      <c r="Y2045" s="28"/>
    </row>
    <row r="2046" spans="17:25" ht="12.75">
      <c r="Q2046" s="28"/>
      <c r="Y2046" s="28"/>
    </row>
    <row r="2047" spans="17:25" ht="12.75">
      <c r="Q2047" s="28"/>
      <c r="Y2047" s="28"/>
    </row>
    <row r="2048" spans="17:25" ht="12.75">
      <c r="Q2048" s="28"/>
      <c r="Y2048" s="28"/>
    </row>
    <row r="2049" spans="17:25" ht="12.75">
      <c r="Q2049" s="28"/>
      <c r="Y2049" s="28"/>
    </row>
    <row r="2050" spans="17:25" ht="12.75">
      <c r="Q2050" s="28"/>
      <c r="Y2050" s="28"/>
    </row>
    <row r="2051" spans="17:25" ht="12.75">
      <c r="Q2051" s="28"/>
      <c r="Y2051" s="28"/>
    </row>
    <row r="2052" spans="17:25" ht="12.75">
      <c r="Q2052" s="28"/>
      <c r="Y2052" s="28"/>
    </row>
    <row r="2053" spans="17:25" ht="12.75">
      <c r="Q2053" s="28"/>
      <c r="Y2053" s="28"/>
    </row>
    <row r="2054" spans="17:25" ht="12.75">
      <c r="Q2054" s="28"/>
      <c r="Y2054" s="28"/>
    </row>
    <row r="2055" spans="17:25" ht="12.75">
      <c r="Q2055" s="28"/>
      <c r="Y2055" s="28"/>
    </row>
    <row r="2056" spans="17:25" ht="12.75">
      <c r="Q2056" s="28"/>
      <c r="Y2056" s="28"/>
    </row>
    <row r="2057" spans="17:25" ht="12.75">
      <c r="Q2057" s="28"/>
      <c r="Y2057" s="28"/>
    </row>
    <row r="2058" spans="17:25" ht="12.75">
      <c r="Q2058" s="28"/>
      <c r="Y2058" s="28"/>
    </row>
    <row r="2059" spans="17:25" ht="12.75">
      <c r="Q2059" s="28"/>
      <c r="Y2059" s="28"/>
    </row>
    <row r="2060" spans="17:25" ht="12.75">
      <c r="Q2060" s="28"/>
      <c r="Y2060" s="28"/>
    </row>
    <row r="2061" spans="17:25" ht="12.75">
      <c r="Q2061" s="28"/>
      <c r="Y2061" s="28"/>
    </row>
    <row r="2062" spans="17:25" ht="12.75">
      <c r="Q2062" s="28"/>
      <c r="Y2062" s="28"/>
    </row>
    <row r="2063" spans="17:25" ht="12.75">
      <c r="Q2063" s="28"/>
      <c r="Y2063" s="28"/>
    </row>
    <row r="2064" spans="17:25" ht="12.75">
      <c r="Q2064" s="28"/>
      <c r="Y2064" s="28"/>
    </row>
    <row r="2065" spans="17:25" ht="12.75">
      <c r="Q2065" s="28"/>
      <c r="Y2065" s="28"/>
    </row>
    <row r="2066" spans="17:25" ht="12.75">
      <c r="Q2066" s="28"/>
      <c r="Y2066" s="28"/>
    </row>
    <row r="2067" spans="17:25" ht="12.75">
      <c r="Q2067" s="28"/>
      <c r="Y2067" s="28"/>
    </row>
    <row r="2068" spans="17:25" ht="12.75">
      <c r="Q2068" s="28"/>
      <c r="Y2068" s="28"/>
    </row>
    <row r="2069" spans="17:25" ht="12.75">
      <c r="Q2069" s="28"/>
      <c r="Y2069" s="28"/>
    </row>
    <row r="2070" spans="17:25" ht="12.75">
      <c r="Q2070" s="28"/>
      <c r="Y2070" s="28"/>
    </row>
    <row r="2071" spans="17:25" ht="12.75">
      <c r="Q2071" s="28"/>
      <c r="Y2071" s="28"/>
    </row>
    <row r="2072" spans="17:25" ht="12.75">
      <c r="Q2072" s="28"/>
      <c r="Y2072" s="28"/>
    </row>
    <row r="2073" spans="17:25" ht="12.75">
      <c r="Q2073" s="28"/>
      <c r="Y2073" s="28"/>
    </row>
    <row r="2074" spans="17:25" ht="12.75">
      <c r="Q2074" s="28"/>
      <c r="Y2074" s="28"/>
    </row>
    <row r="2075" spans="17:25" ht="12.75">
      <c r="Q2075" s="28"/>
      <c r="Y2075" s="28"/>
    </row>
    <row r="2076" spans="17:25" ht="12.75">
      <c r="Q2076" s="28"/>
      <c r="Y2076" s="28"/>
    </row>
    <row r="2077" spans="17:25" ht="12.75">
      <c r="Q2077" s="28"/>
      <c r="Y2077" s="28"/>
    </row>
    <row r="2078" spans="17:25" ht="12.75">
      <c r="Q2078" s="28"/>
      <c r="Y2078" s="28"/>
    </row>
    <row r="2079" spans="17:25" ht="12.75">
      <c r="Q2079" s="28"/>
      <c r="Y2079" s="28"/>
    </row>
    <row r="2080" spans="17:25" ht="12.75">
      <c r="Q2080" s="28"/>
      <c r="Y2080" s="28"/>
    </row>
    <row r="2081" spans="17:25" ht="12.75">
      <c r="Q2081" s="28"/>
      <c r="Y2081" s="28"/>
    </row>
    <row r="2082" spans="17:25" ht="12.75">
      <c r="Q2082" s="28"/>
      <c r="Y2082" s="28"/>
    </row>
    <row r="2083" spans="17:25" ht="12.75">
      <c r="Q2083" s="28"/>
      <c r="Y2083" s="28"/>
    </row>
    <row r="2084" spans="17:25" ht="12.75">
      <c r="Q2084" s="28"/>
      <c r="Y2084" s="28"/>
    </row>
    <row r="2085" spans="17:25" ht="12.75">
      <c r="Q2085" s="28"/>
      <c r="Y2085" s="28"/>
    </row>
    <row r="2086" spans="17:25" ht="12.75">
      <c r="Q2086" s="28"/>
      <c r="Y2086" s="28"/>
    </row>
    <row r="2087" spans="17:25" ht="12.75">
      <c r="Q2087" s="28"/>
      <c r="Y2087" s="28"/>
    </row>
    <row r="2088" spans="17:25" ht="12.75">
      <c r="Q2088" s="28"/>
      <c r="Y2088" s="28"/>
    </row>
    <row r="2089" spans="17:25" ht="12.75">
      <c r="Q2089" s="28"/>
      <c r="Y2089" s="28"/>
    </row>
    <row r="2090" spans="17:25" ht="12.75">
      <c r="Q2090" s="28"/>
      <c r="Y2090" s="28"/>
    </row>
    <row r="2091" spans="17:25" ht="12.75">
      <c r="Q2091" s="28"/>
      <c r="Y2091" s="28"/>
    </row>
    <row r="2092" spans="17:25" ht="12.75">
      <c r="Q2092" s="28"/>
      <c r="Y2092" s="28"/>
    </row>
    <row r="2093" spans="17:25" ht="12.75">
      <c r="Q2093" s="28"/>
      <c r="Y2093" s="28"/>
    </row>
    <row r="2094" spans="17:25" ht="12.75">
      <c r="Q2094" s="28"/>
      <c r="Y2094" s="28"/>
    </row>
    <row r="2095" spans="17:25" ht="12.75">
      <c r="Q2095" s="28"/>
      <c r="Y2095" s="28"/>
    </row>
    <row r="2096" spans="17:25" ht="12.75">
      <c r="Q2096" s="28"/>
      <c r="Y2096" s="28"/>
    </row>
    <row r="2097" spans="17:25" ht="12.75">
      <c r="Q2097" s="28"/>
      <c r="Y2097" s="28"/>
    </row>
    <row r="2098" spans="17:25" ht="12.75">
      <c r="Q2098" s="28"/>
      <c r="Y2098" s="28"/>
    </row>
    <row r="2099" spans="17:25" ht="12.75">
      <c r="Q2099" s="28"/>
      <c r="Y2099" s="28"/>
    </row>
    <row r="2100" spans="17:25" ht="12.75">
      <c r="Q2100" s="28"/>
      <c r="Y2100" s="28"/>
    </row>
    <row r="2101" spans="17:25" ht="12.75">
      <c r="Q2101" s="28"/>
      <c r="Y2101" s="28"/>
    </row>
    <row r="2102" spans="17:25" ht="12.75">
      <c r="Q2102" s="28"/>
      <c r="Y2102" s="28"/>
    </row>
    <row r="2103" spans="17:25" ht="12.75">
      <c r="Q2103" s="28"/>
      <c r="Y2103" s="28"/>
    </row>
    <row r="2104" spans="17:25" ht="12.75">
      <c r="Q2104" s="28"/>
      <c r="Y2104" s="28"/>
    </row>
    <row r="2105" spans="17:25" ht="12.75">
      <c r="Q2105" s="28"/>
      <c r="Y2105" s="28"/>
    </row>
    <row r="2106" spans="17:25" ht="12.75">
      <c r="Q2106" s="28"/>
      <c r="Y2106" s="28"/>
    </row>
    <row r="2107" spans="17:25" ht="12.75">
      <c r="Q2107" s="28"/>
      <c r="Y2107" s="28"/>
    </row>
    <row r="2108" spans="17:25" ht="12.75">
      <c r="Q2108" s="28"/>
      <c r="Y2108" s="28"/>
    </row>
    <row r="2109" spans="17:25" ht="12.75">
      <c r="Q2109" s="28"/>
      <c r="Y2109" s="28"/>
    </row>
    <row r="2110" spans="17:25" ht="12.75">
      <c r="Q2110" s="28"/>
      <c r="Y2110" s="28"/>
    </row>
    <row r="2111" spans="17:25" ht="12.75">
      <c r="Q2111" s="28"/>
      <c r="Y2111" s="28"/>
    </row>
    <row r="2112" spans="17:25" ht="12.75">
      <c r="Q2112" s="28"/>
      <c r="Y2112" s="28"/>
    </row>
    <row r="2113" spans="17:25" ht="12.75">
      <c r="Q2113" s="28"/>
      <c r="Y2113" s="28"/>
    </row>
    <row r="2114" spans="17:25" ht="12.75">
      <c r="Q2114" s="28"/>
      <c r="Y2114" s="28"/>
    </row>
    <row r="2115" spans="17:25" ht="12.75">
      <c r="Q2115" s="28"/>
      <c r="Y2115" s="28"/>
    </row>
    <row r="2116" spans="17:25" ht="12.75">
      <c r="Q2116" s="28"/>
      <c r="Y2116" s="28"/>
    </row>
    <row r="2117" spans="17:25" ht="12.75">
      <c r="Q2117" s="28"/>
      <c r="Y2117" s="28"/>
    </row>
    <row r="2118" spans="17:25" ht="12.75">
      <c r="Q2118" s="28"/>
      <c r="Y2118" s="28"/>
    </row>
    <row r="2119" spans="17:25" ht="12.75">
      <c r="Q2119" s="28"/>
      <c r="Y2119" s="28"/>
    </row>
    <row r="2120" spans="17:25" ht="12.75">
      <c r="Q2120" s="28"/>
      <c r="Y2120" s="28"/>
    </row>
    <row r="2121" spans="17:25" ht="12.75">
      <c r="Q2121" s="28"/>
      <c r="Y2121" s="28"/>
    </row>
    <row r="2122" spans="17:25" ht="12.75">
      <c r="Q2122" s="28"/>
      <c r="Y2122" s="28"/>
    </row>
    <row r="2123" spans="17:25" ht="12.75">
      <c r="Q2123" s="28"/>
      <c r="Y2123" s="28"/>
    </row>
    <row r="2124" spans="17:25" ht="12.75">
      <c r="Q2124" s="28"/>
      <c r="Y2124" s="28"/>
    </row>
    <row r="2125" spans="17:25" ht="12.75">
      <c r="Q2125" s="28"/>
      <c r="Y2125" s="28"/>
    </row>
    <row r="2126" spans="17:25" ht="12.75">
      <c r="Q2126" s="28"/>
      <c r="Y2126" s="28"/>
    </row>
    <row r="2127" spans="17:25" ht="12.75">
      <c r="Q2127" s="28"/>
      <c r="Y2127" s="28"/>
    </row>
    <row r="2128" spans="17:25" ht="12.75">
      <c r="Q2128" s="28"/>
      <c r="Y2128" s="28"/>
    </row>
    <row r="2129" spans="17:25" ht="12.75">
      <c r="Q2129" s="28"/>
      <c r="Y2129" s="28"/>
    </row>
    <row r="2130" spans="17:25" ht="12.75">
      <c r="Q2130" s="28"/>
      <c r="Y2130" s="28"/>
    </row>
    <row r="2131" spans="17:25" ht="12.75">
      <c r="Q2131" s="28"/>
      <c r="Y2131" s="28"/>
    </row>
    <row r="2132" spans="17:25" ht="12.75">
      <c r="Q2132" s="28"/>
      <c r="Y2132" s="28"/>
    </row>
    <row r="2133" spans="17:25" ht="12.75">
      <c r="Q2133" s="28"/>
      <c r="Y2133" s="28"/>
    </row>
    <row r="2134" spans="17:25" ht="12.75">
      <c r="Q2134" s="28"/>
      <c r="Y2134" s="28"/>
    </row>
    <row r="2135" spans="17:25" ht="12.75">
      <c r="Q2135" s="28"/>
      <c r="Y2135" s="28"/>
    </row>
    <row r="2136" spans="17:25" ht="12.75">
      <c r="Q2136" s="28"/>
      <c r="Y2136" s="28"/>
    </row>
    <row r="2137" spans="17:25" ht="12.75">
      <c r="Q2137" s="28"/>
      <c r="Y2137" s="28"/>
    </row>
    <row r="2138" spans="17:25" ht="12.75">
      <c r="Q2138" s="28"/>
      <c r="Y2138" s="28"/>
    </row>
    <row r="2139" spans="17:25" ht="12.75">
      <c r="Q2139" s="28"/>
      <c r="Y2139" s="28"/>
    </row>
    <row r="2140" spans="17:25" ht="12.75">
      <c r="Q2140" s="28"/>
      <c r="Y2140" s="28"/>
    </row>
    <row r="2141" spans="17:25" ht="12.75">
      <c r="Q2141" s="28"/>
      <c r="Y2141" s="28"/>
    </row>
    <row r="2142" spans="17:25" ht="12.75">
      <c r="Q2142" s="28"/>
      <c r="Y2142" s="28"/>
    </row>
    <row r="2143" spans="17:25" ht="12.75">
      <c r="Q2143" s="28"/>
      <c r="Y2143" s="28"/>
    </row>
    <row r="2144" spans="17:25" ht="12.75">
      <c r="Q2144" s="28"/>
      <c r="Y2144" s="28"/>
    </row>
    <row r="2145" spans="17:25" ht="12.75">
      <c r="Q2145" s="28"/>
      <c r="Y2145" s="28"/>
    </row>
    <row r="2146" spans="17:25" ht="12.75">
      <c r="Q2146" s="28"/>
      <c r="Y2146" s="28"/>
    </row>
    <row r="2147" spans="17:25" ht="12.75">
      <c r="Q2147" s="28"/>
      <c r="Y2147" s="28"/>
    </row>
    <row r="2148" spans="17:25" ht="12.75">
      <c r="Q2148" s="28"/>
      <c r="Y2148" s="28"/>
    </row>
    <row r="2149" spans="17:25" ht="12.75">
      <c r="Q2149" s="28"/>
      <c r="Y2149" s="28"/>
    </row>
    <row r="2150" spans="17:25" ht="12.75">
      <c r="Q2150" s="28"/>
      <c r="Y2150" s="28"/>
    </row>
    <row r="2151" spans="17:25" ht="12.75">
      <c r="Q2151" s="28"/>
      <c r="Y2151" s="28"/>
    </row>
    <row r="2152" spans="17:25" ht="12.75">
      <c r="Q2152" s="28"/>
      <c r="Y2152" s="28"/>
    </row>
    <row r="2153" spans="17:25" ht="12.75">
      <c r="Q2153" s="28"/>
      <c r="Y2153" s="28"/>
    </row>
    <row r="2154" spans="17:25" ht="12.75">
      <c r="Q2154" s="28"/>
      <c r="Y2154" s="28"/>
    </row>
    <row r="2155" spans="17:25" ht="12.75">
      <c r="Q2155" s="28"/>
      <c r="Y2155" s="28"/>
    </row>
    <row r="2156" spans="17:25" ht="12.75">
      <c r="Q2156" s="28"/>
      <c r="Y2156" s="28"/>
    </row>
    <row r="2157" spans="17:25" ht="12.75">
      <c r="Q2157" s="28"/>
      <c r="Y2157" s="28"/>
    </row>
    <row r="2158" spans="17:25" ht="12.75">
      <c r="Q2158" s="28"/>
      <c r="Y2158" s="28"/>
    </row>
    <row r="2159" spans="17:25" ht="12.75">
      <c r="Q2159" s="28"/>
      <c r="Y2159" s="28"/>
    </row>
    <row r="2160" spans="17:25" ht="12.75">
      <c r="Q2160" s="28"/>
      <c r="Y2160" s="28"/>
    </row>
    <row r="2161" spans="17:25" ht="12.75">
      <c r="Q2161" s="28"/>
      <c r="Y2161" s="28"/>
    </row>
    <row r="2162" spans="17:25" ht="12.75">
      <c r="Q2162" s="28"/>
      <c r="Y2162" s="28"/>
    </row>
    <row r="2163" spans="17:25" ht="12.75">
      <c r="Q2163" s="28"/>
      <c r="Y2163" s="28"/>
    </row>
    <row r="2164" spans="17:25" ht="12.75">
      <c r="Q2164" s="28"/>
      <c r="Y2164" s="28"/>
    </row>
    <row r="2165" spans="17:25" ht="12.75">
      <c r="Q2165" s="28"/>
      <c r="Y2165" s="28"/>
    </row>
    <row r="2166" spans="17:25" ht="12.75">
      <c r="Q2166" s="28"/>
      <c r="Y2166" s="28"/>
    </row>
    <row r="2167" spans="17:25" ht="12.75">
      <c r="Q2167" s="28"/>
      <c r="Y2167" s="28"/>
    </row>
    <row r="2168" spans="17:25" ht="12.75">
      <c r="Q2168" s="28"/>
      <c r="Y2168" s="28"/>
    </row>
    <row r="2169" spans="17:25" ht="12.75">
      <c r="Q2169" s="28"/>
      <c r="Y2169" s="28"/>
    </row>
    <row r="2170" spans="17:25" ht="12.75">
      <c r="Q2170" s="28"/>
      <c r="Y2170" s="28"/>
    </row>
    <row r="2171" spans="17:25" ht="12.75">
      <c r="Q2171" s="28"/>
      <c r="Y2171" s="28"/>
    </row>
    <row r="2172" spans="17:25" ht="12.75">
      <c r="Q2172" s="28"/>
      <c r="Y2172" s="28"/>
    </row>
    <row r="2173" spans="17:25" ht="12.75">
      <c r="Q2173" s="28"/>
      <c r="Y2173" s="28"/>
    </row>
    <row r="2174" spans="17:25" ht="12.75">
      <c r="Q2174" s="28"/>
      <c r="Y2174" s="28"/>
    </row>
    <row r="2175" spans="17:25" ht="12.75">
      <c r="Q2175" s="28"/>
      <c r="Y2175" s="28"/>
    </row>
    <row r="2176" spans="17:25" ht="12.75">
      <c r="Q2176" s="28"/>
      <c r="Y2176" s="28"/>
    </row>
    <row r="2177" spans="17:25" ht="12.75">
      <c r="Q2177" s="28"/>
      <c r="Y2177" s="28"/>
    </row>
    <row r="2178" spans="17:25" ht="12.75">
      <c r="Q2178" s="28"/>
      <c r="Y2178" s="28"/>
    </row>
    <row r="2179" spans="17:25" ht="12.75">
      <c r="Q2179" s="28"/>
      <c r="Y2179" s="28"/>
    </row>
    <row r="2180" spans="17:25" ht="12.75">
      <c r="Q2180" s="28"/>
      <c r="Y2180" s="28"/>
    </row>
    <row r="2181" spans="17:25" ht="12.75">
      <c r="Q2181" s="28"/>
      <c r="Y2181" s="28"/>
    </row>
    <row r="2182" spans="17:25" ht="12.75">
      <c r="Q2182" s="28"/>
      <c r="Y2182" s="28"/>
    </row>
    <row r="2183" spans="17:25" ht="12.75">
      <c r="Q2183" s="28"/>
      <c r="Y2183" s="28"/>
    </row>
    <row r="2184" spans="17:25" ht="12.75">
      <c r="Q2184" s="28"/>
      <c r="Y2184" s="28"/>
    </row>
    <row r="2185" spans="17:25" ht="12.75">
      <c r="Q2185" s="28"/>
      <c r="Y2185" s="28"/>
    </row>
    <row r="2186" spans="17:25" ht="12.75">
      <c r="Q2186" s="28"/>
      <c r="Y2186" s="28"/>
    </row>
    <row r="2187" spans="17:25" ht="12.75">
      <c r="Q2187" s="28"/>
      <c r="Y2187" s="28"/>
    </row>
    <row r="2188" spans="17:25" ht="12.75">
      <c r="Q2188" s="28"/>
      <c r="Y2188" s="28"/>
    </row>
    <row r="2189" spans="17:25" ht="12.75">
      <c r="Q2189" s="28"/>
      <c r="Y2189" s="28"/>
    </row>
    <row r="2190" spans="17:25" ht="12.75">
      <c r="Q2190" s="28"/>
      <c r="Y2190" s="28"/>
    </row>
    <row r="2191" spans="17:25" ht="12.75">
      <c r="Q2191" s="28"/>
      <c r="Y2191" s="28"/>
    </row>
    <row r="2192" spans="17:25" ht="12.75">
      <c r="Q2192" s="28"/>
      <c r="Y2192" s="28"/>
    </row>
    <row r="2193" spans="17:25" ht="12.75">
      <c r="Q2193" s="28"/>
      <c r="Y2193" s="28"/>
    </row>
    <row r="2194" spans="17:25" ht="12.75">
      <c r="Q2194" s="28"/>
      <c r="Y2194" s="28"/>
    </row>
    <row r="2195" spans="17:25" ht="12.75">
      <c r="Q2195" s="28"/>
      <c r="Y2195" s="28"/>
    </row>
    <row r="2196" spans="17:25" ht="12.75">
      <c r="Q2196" s="28"/>
      <c r="Y2196" s="28"/>
    </row>
    <row r="2197" spans="17:25" ht="12.75">
      <c r="Q2197" s="28"/>
      <c r="Y2197" s="28"/>
    </row>
    <row r="2198" spans="17:25" ht="12.75">
      <c r="Q2198" s="28"/>
      <c r="Y2198" s="28"/>
    </row>
    <row r="2199" spans="17:25" ht="12.75">
      <c r="Q2199" s="28"/>
      <c r="Y2199" s="28"/>
    </row>
    <row r="2200" spans="17:25" ht="12.75">
      <c r="Q2200" s="28"/>
      <c r="Y2200" s="28"/>
    </row>
    <row r="2201" spans="17:25" ht="12.75">
      <c r="Q2201" s="28"/>
      <c r="Y2201" s="28"/>
    </row>
    <row r="2202" spans="17:25" ht="12.75">
      <c r="Q2202" s="28"/>
      <c r="Y2202" s="28"/>
    </row>
    <row r="2203" spans="17:25" ht="12.75">
      <c r="Q2203" s="28"/>
      <c r="Y2203" s="28"/>
    </row>
    <row r="2204" spans="17:25" ht="12.75">
      <c r="Q2204" s="28"/>
      <c r="Y2204" s="28"/>
    </row>
    <row r="2205" spans="17:25" ht="12.75">
      <c r="Q2205" s="28"/>
      <c r="Y2205" s="28"/>
    </row>
    <row r="2206" spans="17:25" ht="12.75">
      <c r="Q2206" s="28"/>
      <c r="Y2206" s="28"/>
    </row>
    <row r="2207" spans="17:25" ht="12.75">
      <c r="Q2207" s="28"/>
      <c r="Y2207" s="28"/>
    </row>
    <row r="2208" spans="17:25" ht="12.75">
      <c r="Q2208" s="28"/>
      <c r="Y2208" s="28"/>
    </row>
    <row r="2209" spans="17:25" ht="12.75">
      <c r="Q2209" s="28"/>
      <c r="Y2209" s="28"/>
    </row>
    <row r="2210" spans="17:25" ht="12.75">
      <c r="Q2210" s="28"/>
      <c r="Y2210" s="28"/>
    </row>
    <row r="2211" spans="17:25" ht="12.75">
      <c r="Q2211" s="28"/>
      <c r="Y2211" s="28"/>
    </row>
    <row r="2212" spans="17:25" ht="12.75">
      <c r="Q2212" s="28"/>
      <c r="Y2212" s="28"/>
    </row>
    <row r="2213" spans="17:25" ht="12.75">
      <c r="Q2213" s="28"/>
      <c r="Y2213" s="28"/>
    </row>
    <row r="2214" spans="17:25" ht="12.75">
      <c r="Q2214" s="28"/>
      <c r="Y2214" s="28"/>
    </row>
    <row r="2215" spans="17:25" ht="12.75">
      <c r="Q2215" s="28"/>
      <c r="Y2215" s="28"/>
    </row>
    <row r="2216" spans="17:25" ht="12.75">
      <c r="Q2216" s="28"/>
      <c r="Y2216" s="28"/>
    </row>
    <row r="2217" spans="17:25" ht="12.75">
      <c r="Q2217" s="28"/>
      <c r="Y2217" s="28"/>
    </row>
    <row r="2218" spans="17:25" ht="12.75">
      <c r="Q2218" s="28"/>
      <c r="Y2218" s="28"/>
    </row>
    <row r="2219" ht="12.75">
      <c r="Q2219" s="28"/>
    </row>
    <row r="2220" ht="12.75">
      <c r="Q2220" s="28"/>
    </row>
    <row r="2221" ht="12.75">
      <c r="Q2221" s="28"/>
    </row>
    <row r="2222" ht="12.75">
      <c r="Q2222" s="28"/>
    </row>
    <row r="2223" ht="12.75">
      <c r="Q2223" s="28"/>
    </row>
    <row r="2224" ht="12.75">
      <c r="Q2224" s="28"/>
    </row>
    <row r="2225" ht="12.75">
      <c r="Q2225" s="28"/>
    </row>
    <row r="2226" ht="12.75">
      <c r="Q2226" s="28"/>
    </row>
    <row r="2227" ht="12.75">
      <c r="Q2227" s="28"/>
    </row>
    <row r="2228" ht="12.75">
      <c r="Q2228" s="28"/>
    </row>
    <row r="2229" ht="12.75">
      <c r="Q2229" s="28"/>
    </row>
    <row r="2230" ht="12.75">
      <c r="Q2230" s="28"/>
    </row>
    <row r="2231" ht="12.75">
      <c r="Q2231" s="28"/>
    </row>
    <row r="2232" ht="12.75">
      <c r="Q2232" s="28"/>
    </row>
    <row r="2233" ht="12.75">
      <c r="Q2233" s="28"/>
    </row>
    <row r="2234" ht="12.75">
      <c r="Q2234" s="28"/>
    </row>
    <row r="2235" ht="12.75">
      <c r="Q2235" s="28"/>
    </row>
    <row r="2236" ht="12.75">
      <c r="Q2236" s="28"/>
    </row>
    <row r="2237" ht="12.75">
      <c r="Q2237" s="28"/>
    </row>
    <row r="2238" ht="12.75">
      <c r="Q2238" s="28"/>
    </row>
    <row r="2239" ht="12.75">
      <c r="Q2239" s="28"/>
    </row>
    <row r="2240" ht="12.75">
      <c r="Q2240" s="28"/>
    </row>
    <row r="2241" ht="12.75">
      <c r="Q2241" s="28"/>
    </row>
    <row r="2242" ht="12.75">
      <c r="Q2242" s="28"/>
    </row>
    <row r="2243" ht="12.75">
      <c r="Q2243" s="28"/>
    </row>
    <row r="2244" ht="12.75">
      <c r="Q2244" s="28"/>
    </row>
    <row r="2245" ht="12.75">
      <c r="Q2245" s="28"/>
    </row>
    <row r="2246" ht="12.75">
      <c r="Q2246" s="28"/>
    </row>
    <row r="2247" ht="12.75">
      <c r="Q2247" s="28"/>
    </row>
    <row r="2248" ht="12.75">
      <c r="Q2248" s="28"/>
    </row>
    <row r="2249" ht="12.75">
      <c r="Q2249" s="28"/>
    </row>
    <row r="2250" ht="12.75">
      <c r="Q2250" s="28"/>
    </row>
    <row r="2251" ht="12.75">
      <c r="Q2251" s="28"/>
    </row>
    <row r="2252" ht="12.75">
      <c r="Q2252" s="28"/>
    </row>
    <row r="2253" ht="12.75">
      <c r="Q2253" s="28"/>
    </row>
    <row r="2254" ht="12.75">
      <c r="Q2254" s="28"/>
    </row>
    <row r="2255" ht="12.75">
      <c r="Q2255" s="28"/>
    </row>
    <row r="2256" ht="12.75">
      <c r="Q2256" s="28"/>
    </row>
    <row r="2257" ht="12.75">
      <c r="Q2257" s="28"/>
    </row>
    <row r="2258" ht="12.75">
      <c r="Q2258" s="28"/>
    </row>
    <row r="2259" ht="12.75">
      <c r="Q2259" s="28"/>
    </row>
    <row r="2260" ht="12.75">
      <c r="Q2260" s="28"/>
    </row>
    <row r="2261" ht="12.75">
      <c r="Q2261" s="28"/>
    </row>
    <row r="2262" ht="12.75">
      <c r="Q2262" s="28"/>
    </row>
    <row r="2263" ht="12.75">
      <c r="Q2263" s="28"/>
    </row>
    <row r="2264" ht="12.75">
      <c r="Q2264" s="28"/>
    </row>
    <row r="2265" ht="12.75">
      <c r="Q2265" s="28"/>
    </row>
    <row r="2266" ht="12.75">
      <c r="Q2266" s="28"/>
    </row>
    <row r="2267" ht="12.75">
      <c r="Q2267" s="28"/>
    </row>
    <row r="2268" ht="12.75">
      <c r="Q2268" s="28"/>
    </row>
    <row r="2269" ht="12.75">
      <c r="Q2269" s="28"/>
    </row>
    <row r="2270" ht="12.75">
      <c r="Q2270" s="28"/>
    </row>
    <row r="2271" ht="12.75">
      <c r="Q2271" s="28"/>
    </row>
    <row r="2272" ht="12.75">
      <c r="Q2272" s="28"/>
    </row>
    <row r="2273" ht="12.75">
      <c r="Q2273" s="28"/>
    </row>
    <row r="2274" ht="12.75">
      <c r="Q2274" s="28"/>
    </row>
    <row r="2275" ht="12.75">
      <c r="Q2275" s="28"/>
    </row>
    <row r="2276" ht="12.75">
      <c r="Q2276" s="28"/>
    </row>
    <row r="2277" ht="12.75">
      <c r="Q2277" s="28"/>
    </row>
    <row r="2278" ht="12.75">
      <c r="Q2278" s="28"/>
    </row>
    <row r="2279" ht="12.75">
      <c r="Q2279" s="28"/>
    </row>
    <row r="2280" ht="12.75">
      <c r="Q2280" s="28"/>
    </row>
    <row r="2281" ht="12.75">
      <c r="Q2281" s="28"/>
    </row>
    <row r="2282" ht="12.75">
      <c r="Q2282" s="28"/>
    </row>
    <row r="2283" ht="12.75">
      <c r="Q2283" s="28"/>
    </row>
    <row r="2284" ht="12.75">
      <c r="Q2284" s="28"/>
    </row>
    <row r="2285" ht="12.75">
      <c r="Q2285" s="28"/>
    </row>
    <row r="2286" ht="12.75">
      <c r="Q2286" s="28"/>
    </row>
    <row r="2287" ht="12.75">
      <c r="Q2287" s="28"/>
    </row>
    <row r="2288" ht="12.75">
      <c r="Q2288" s="28"/>
    </row>
    <row r="2289" ht="12.75">
      <c r="Q2289" s="28"/>
    </row>
    <row r="2290" ht="12.75">
      <c r="Q2290" s="28"/>
    </row>
    <row r="2291" ht="12.75">
      <c r="Q2291" s="28"/>
    </row>
    <row r="2292" ht="12.75">
      <c r="Q2292" s="28"/>
    </row>
    <row r="2293" ht="12.75">
      <c r="Q2293" s="28"/>
    </row>
    <row r="2294" ht="12.75">
      <c r="Q2294" s="28"/>
    </row>
    <row r="2295" ht="12.75">
      <c r="Q2295" s="28"/>
    </row>
    <row r="2296" ht="12.75">
      <c r="Q2296" s="28"/>
    </row>
    <row r="2297" ht="12.75">
      <c r="Q2297" s="28"/>
    </row>
    <row r="2298" ht="12.75">
      <c r="Q2298" s="28"/>
    </row>
    <row r="2299" ht="12.75">
      <c r="Q2299" s="28"/>
    </row>
    <row r="2300" ht="12.75">
      <c r="Q2300" s="28"/>
    </row>
    <row r="2301" ht="12.75">
      <c r="Q2301" s="28"/>
    </row>
    <row r="2302" ht="12.75">
      <c r="Q2302" s="28"/>
    </row>
    <row r="2303" ht="12.75">
      <c r="Q2303" s="28"/>
    </row>
    <row r="2304" ht="12.75">
      <c r="Q2304" s="28"/>
    </row>
    <row r="2305" ht="12.75">
      <c r="Q2305" s="28"/>
    </row>
    <row r="2306" ht="12.75">
      <c r="Q2306" s="28"/>
    </row>
    <row r="2307" ht="12.75">
      <c r="Q2307" s="28"/>
    </row>
    <row r="2308" ht="12.75">
      <c r="Q2308" s="28"/>
    </row>
    <row r="2309" ht="12.75">
      <c r="Q2309" s="28"/>
    </row>
    <row r="2310" ht="12.75">
      <c r="Q2310" s="28"/>
    </row>
    <row r="2311" ht="12.75">
      <c r="Q2311" s="28"/>
    </row>
    <row r="2312" ht="12.75">
      <c r="Q2312" s="28"/>
    </row>
    <row r="2313" ht="12.75">
      <c r="Q2313" s="28"/>
    </row>
    <row r="2314" ht="12.75">
      <c r="Q2314" s="28"/>
    </row>
    <row r="2315" ht="12.75">
      <c r="Q2315" s="28"/>
    </row>
    <row r="2316" ht="12.75">
      <c r="Q2316" s="28"/>
    </row>
    <row r="2317" ht="12.75">
      <c r="Q2317" s="28"/>
    </row>
    <row r="2318" ht="12.75">
      <c r="Q2318" s="28"/>
    </row>
    <row r="2319" ht="12.75">
      <c r="Q2319" s="28"/>
    </row>
    <row r="2320" ht="12.75">
      <c r="Q2320" s="28"/>
    </row>
    <row r="2321" ht="12.75">
      <c r="Q2321" s="28"/>
    </row>
    <row r="2322" ht="12.75">
      <c r="Q2322" s="28"/>
    </row>
    <row r="2323" ht="12.75">
      <c r="Q2323" s="28"/>
    </row>
    <row r="2324" ht="12.75">
      <c r="Q2324" s="28"/>
    </row>
    <row r="2325" ht="12.75">
      <c r="Q2325" s="28"/>
    </row>
    <row r="2326" ht="12.75">
      <c r="Q2326" s="28"/>
    </row>
    <row r="2327" ht="12.75">
      <c r="Q2327" s="28"/>
    </row>
    <row r="2328" ht="12.75">
      <c r="Q2328" s="28"/>
    </row>
    <row r="2329" ht="12.75">
      <c r="Q2329" s="28"/>
    </row>
    <row r="2330" ht="12.75">
      <c r="Q2330" s="28"/>
    </row>
    <row r="2331" ht="12.75">
      <c r="Q2331" s="28"/>
    </row>
    <row r="2332" ht="12.75">
      <c r="Q2332" s="28"/>
    </row>
    <row r="2333" ht="12.75">
      <c r="Q2333" s="28"/>
    </row>
    <row r="2334" ht="12.75">
      <c r="Q2334" s="28"/>
    </row>
    <row r="2335" ht="12.75">
      <c r="Q2335" s="28"/>
    </row>
    <row r="2336" ht="12.75">
      <c r="Q2336" s="28"/>
    </row>
    <row r="2337" ht="12.75">
      <c r="Q2337" s="28"/>
    </row>
    <row r="2338" ht="12.75">
      <c r="Q2338" s="28"/>
    </row>
    <row r="2339" ht="12.75">
      <c r="Q2339" s="28"/>
    </row>
    <row r="2340" ht="12.75">
      <c r="Q2340" s="28"/>
    </row>
    <row r="2341" ht="12.75">
      <c r="Q2341" s="28"/>
    </row>
    <row r="2342" ht="12.75">
      <c r="Q2342" s="28"/>
    </row>
    <row r="2343" ht="12.75">
      <c r="Q2343" s="28"/>
    </row>
    <row r="2344" ht="12.75">
      <c r="Q2344" s="28"/>
    </row>
    <row r="2345" ht="12.75">
      <c r="Q2345" s="28"/>
    </row>
    <row r="2346" ht="12.75">
      <c r="Q2346" s="28"/>
    </row>
    <row r="2347" ht="12.75">
      <c r="Q2347" s="28"/>
    </row>
    <row r="2348" ht="12.75">
      <c r="Q2348" s="28"/>
    </row>
    <row r="2349" ht="12.75">
      <c r="Q2349" s="28"/>
    </row>
    <row r="2350" ht="12.75">
      <c r="Q2350" s="28"/>
    </row>
    <row r="2351" ht="12.75">
      <c r="Q2351" s="28"/>
    </row>
    <row r="2352" ht="12.75">
      <c r="Q2352" s="28"/>
    </row>
    <row r="2353" ht="12.75">
      <c r="Q2353" s="28"/>
    </row>
    <row r="2354" ht="12.75">
      <c r="Q2354" s="28"/>
    </row>
    <row r="2355" ht="12.75">
      <c r="Q2355" s="28"/>
    </row>
    <row r="2356" ht="12.75">
      <c r="Q2356" s="28"/>
    </row>
    <row r="2357" ht="12.75">
      <c r="Q2357" s="28"/>
    </row>
    <row r="2358" ht="12.75">
      <c r="Q2358" s="28"/>
    </row>
    <row r="2359" ht="12.75">
      <c r="Q2359" s="28"/>
    </row>
    <row r="2360" ht="12.75">
      <c r="Q2360" s="28"/>
    </row>
    <row r="2361" ht="12.75">
      <c r="Q2361" s="28"/>
    </row>
    <row r="2362" ht="12.75">
      <c r="Q2362" s="28"/>
    </row>
    <row r="2363" ht="12.75">
      <c r="Q2363" s="28"/>
    </row>
    <row r="2364" ht="12.75">
      <c r="Q2364" s="28"/>
    </row>
    <row r="2365" ht="12.75">
      <c r="Q2365" s="28"/>
    </row>
    <row r="2366" ht="12.75">
      <c r="Q2366" s="28"/>
    </row>
    <row r="2367" ht="12.75">
      <c r="Q2367" s="28"/>
    </row>
    <row r="2368" ht="12.75">
      <c r="Q2368" s="28"/>
    </row>
    <row r="2369" ht="12.75">
      <c r="Q2369" s="28"/>
    </row>
    <row r="2370" ht="12.75">
      <c r="Q2370" s="28"/>
    </row>
    <row r="2371" ht="12.75">
      <c r="Q2371" s="28"/>
    </row>
    <row r="2372" ht="12.75">
      <c r="Q2372" s="28"/>
    </row>
    <row r="2373" ht="12.75">
      <c r="Q2373" s="28"/>
    </row>
    <row r="2374" ht="12.75">
      <c r="Q2374" s="28"/>
    </row>
    <row r="2375" ht="12.75">
      <c r="Q2375" s="28"/>
    </row>
    <row r="2376" ht="12.75">
      <c r="Q2376" s="28"/>
    </row>
    <row r="2377" ht="12.75">
      <c r="Q2377" s="28"/>
    </row>
    <row r="2378" ht="12.75">
      <c r="Q2378" s="28"/>
    </row>
    <row r="2379" ht="12.75">
      <c r="Q2379" s="28"/>
    </row>
    <row r="2380" ht="12.75">
      <c r="Q2380" s="28"/>
    </row>
    <row r="2381" ht="12.75">
      <c r="Q2381" s="28"/>
    </row>
    <row r="2382" ht="12.75">
      <c r="Q2382" s="28"/>
    </row>
    <row r="2383" ht="12.75">
      <c r="Q2383" s="28"/>
    </row>
    <row r="2384" ht="12.75">
      <c r="Q2384" s="28"/>
    </row>
    <row r="2385" ht="12.75">
      <c r="Q2385" s="28"/>
    </row>
    <row r="2386" ht="12.75">
      <c r="Q2386" s="28"/>
    </row>
    <row r="2387" ht="12.75">
      <c r="Q2387" s="28"/>
    </row>
    <row r="2388" ht="12.75">
      <c r="Q2388" s="28"/>
    </row>
    <row r="2389" ht="12.75">
      <c r="Q2389" s="28"/>
    </row>
    <row r="2390" ht="12.75">
      <c r="Q2390" s="28"/>
    </row>
    <row r="2391" ht="12.75">
      <c r="Q2391" s="28"/>
    </row>
    <row r="2392" ht="12.75">
      <c r="Q2392" s="28"/>
    </row>
    <row r="2393" ht="12.75">
      <c r="Q2393" s="28"/>
    </row>
    <row r="2394" ht="12.75">
      <c r="Q2394" s="28"/>
    </row>
    <row r="2395" ht="12.75">
      <c r="Q2395" s="28"/>
    </row>
    <row r="2396" ht="12.75">
      <c r="Q2396" s="28"/>
    </row>
    <row r="2397" ht="12.75">
      <c r="Q2397" s="28"/>
    </row>
    <row r="2398" ht="12.75">
      <c r="Q2398" s="28"/>
    </row>
    <row r="2399" ht="12.75">
      <c r="Q2399" s="28"/>
    </row>
    <row r="2400" ht="12.75">
      <c r="Q2400" s="28"/>
    </row>
    <row r="2401" ht="12.75">
      <c r="Q2401" s="28"/>
    </row>
    <row r="2402" ht="12.75">
      <c r="Q2402" s="28"/>
    </row>
    <row r="2403" ht="12.75">
      <c r="Q2403" s="28"/>
    </row>
    <row r="2404" ht="12.75">
      <c r="Q2404" s="28"/>
    </row>
    <row r="2405" ht="12.75">
      <c r="Q2405" s="28"/>
    </row>
    <row r="2406" ht="12.75">
      <c r="Q2406" s="28"/>
    </row>
    <row r="2407" ht="12.75">
      <c r="Q2407" s="28"/>
    </row>
    <row r="2408" ht="12.75">
      <c r="Q2408" s="28"/>
    </row>
    <row r="2409" ht="12.75">
      <c r="Q2409" s="28"/>
    </row>
    <row r="2410" ht="12.75">
      <c r="Q2410" s="28"/>
    </row>
    <row r="2411" ht="12.75">
      <c r="Q2411" s="28"/>
    </row>
    <row r="2412" ht="12.75">
      <c r="Q2412" s="28"/>
    </row>
    <row r="2413" ht="12.75">
      <c r="Q2413" s="28"/>
    </row>
    <row r="2414" ht="12.75">
      <c r="Q2414" s="28"/>
    </row>
    <row r="2415" ht="12.75">
      <c r="Q2415" s="28"/>
    </row>
    <row r="2416" ht="12.75">
      <c r="Q2416" s="28"/>
    </row>
    <row r="2417" ht="12.75">
      <c r="Q2417" s="28"/>
    </row>
    <row r="2418" ht="12.75">
      <c r="Q2418" s="28"/>
    </row>
    <row r="2419" ht="12.75">
      <c r="Q2419" s="28"/>
    </row>
    <row r="2420" ht="12.75">
      <c r="Q2420" s="28"/>
    </row>
    <row r="2421" ht="12.75">
      <c r="Q2421" s="28"/>
    </row>
    <row r="2422" ht="12.75">
      <c r="Q2422" s="28"/>
    </row>
    <row r="2423" ht="12.75">
      <c r="Q2423" s="28"/>
    </row>
    <row r="2424" ht="12.75">
      <c r="Q2424" s="28"/>
    </row>
    <row r="2425" ht="12.75">
      <c r="Q2425" s="28"/>
    </row>
    <row r="2426" ht="12.75">
      <c r="Q2426" s="28"/>
    </row>
    <row r="2427" ht="12.75">
      <c r="Q2427" s="28"/>
    </row>
    <row r="2428" ht="12.75">
      <c r="Q2428" s="28"/>
    </row>
    <row r="2429" ht="12.75">
      <c r="Q2429" s="28"/>
    </row>
    <row r="2430" ht="12.75">
      <c r="Q2430" s="28"/>
    </row>
    <row r="2431" ht="12.75">
      <c r="Q2431" s="28"/>
    </row>
    <row r="2432" ht="12.75">
      <c r="Q2432" s="28"/>
    </row>
    <row r="2433" ht="12.75">
      <c r="Q2433" s="28"/>
    </row>
    <row r="2434" ht="12.75">
      <c r="Q2434" s="28"/>
    </row>
    <row r="2435" ht="12.75">
      <c r="Q2435" s="28"/>
    </row>
    <row r="2436" ht="12.75">
      <c r="Q2436" s="28"/>
    </row>
    <row r="2437" ht="12.75">
      <c r="Q2437" s="28"/>
    </row>
    <row r="2438" ht="12.75">
      <c r="Q2438" s="28"/>
    </row>
    <row r="2439" ht="12.75">
      <c r="Q2439" s="28"/>
    </row>
    <row r="2440" ht="12.75">
      <c r="Q2440" s="28"/>
    </row>
    <row r="2441" ht="12.75">
      <c r="Q2441" s="28"/>
    </row>
    <row r="2442" ht="12.75">
      <c r="Q2442" s="28"/>
    </row>
    <row r="2443" ht="12.75">
      <c r="Q2443" s="28"/>
    </row>
    <row r="2444" ht="12.75">
      <c r="Q2444" s="28"/>
    </row>
    <row r="2445" ht="12.75">
      <c r="Q2445" s="28"/>
    </row>
    <row r="2446" ht="12.75">
      <c r="Q2446" s="28"/>
    </row>
    <row r="2447" ht="12.75">
      <c r="Q2447" s="28"/>
    </row>
    <row r="2448" ht="12.75">
      <c r="Q2448" s="28"/>
    </row>
    <row r="2449" ht="12.75">
      <c r="Q2449" s="28"/>
    </row>
    <row r="2450" ht="12.75">
      <c r="Q2450" s="28"/>
    </row>
    <row r="2451" ht="12.75">
      <c r="Q2451" s="28"/>
    </row>
    <row r="2452" ht="12.75">
      <c r="Q2452" s="28"/>
    </row>
    <row r="2453" ht="12.75">
      <c r="Q2453" s="28"/>
    </row>
    <row r="2454" ht="12.75">
      <c r="Q2454" s="28"/>
    </row>
    <row r="2455" ht="12.75">
      <c r="Q2455" s="28"/>
    </row>
    <row r="2456" ht="12.75">
      <c r="Q2456" s="28"/>
    </row>
    <row r="2457" ht="12.75">
      <c r="Q2457" s="28"/>
    </row>
    <row r="2458" ht="12.75">
      <c r="Q2458" s="28"/>
    </row>
    <row r="2459" ht="12.75">
      <c r="Q2459" s="28"/>
    </row>
    <row r="2460" ht="12.75">
      <c r="Q2460" s="28"/>
    </row>
    <row r="2461" ht="12.75">
      <c r="Q2461" s="28"/>
    </row>
    <row r="2462" ht="12.75">
      <c r="Q2462" s="28"/>
    </row>
    <row r="2463" ht="12.75">
      <c r="Q2463" s="28"/>
    </row>
    <row r="2464" ht="12.75">
      <c r="Q2464" s="28"/>
    </row>
    <row r="2465" ht="12.75">
      <c r="Q2465" s="28"/>
    </row>
    <row r="2466" ht="12.75">
      <c r="Q2466" s="28"/>
    </row>
    <row r="2467" ht="12.75">
      <c r="Q2467" s="28"/>
    </row>
    <row r="2468" ht="12.75">
      <c r="Q2468" s="28"/>
    </row>
    <row r="2469" ht="12.75">
      <c r="Q2469" s="28"/>
    </row>
    <row r="2470" ht="12.75">
      <c r="Q2470" s="28"/>
    </row>
    <row r="2471" ht="12.75">
      <c r="Q2471" s="28"/>
    </row>
    <row r="2472" ht="12.75">
      <c r="Q2472" s="28"/>
    </row>
    <row r="2473" ht="12.75">
      <c r="Q2473" s="28"/>
    </row>
    <row r="2474" ht="12.75">
      <c r="Q2474" s="28"/>
    </row>
    <row r="2475" ht="12.75">
      <c r="Q2475" s="28"/>
    </row>
    <row r="2476" ht="12.75">
      <c r="Q2476" s="28"/>
    </row>
    <row r="2477" ht="12.75">
      <c r="Q2477" s="28"/>
    </row>
    <row r="2478" ht="12.75">
      <c r="Q2478" s="28"/>
    </row>
    <row r="2479" ht="12.75">
      <c r="Q2479" s="28"/>
    </row>
    <row r="2480" ht="12.75">
      <c r="Q2480" s="28"/>
    </row>
    <row r="2481" ht="12.75">
      <c r="Q2481" s="28"/>
    </row>
    <row r="2482" ht="12.75">
      <c r="Q2482" s="28"/>
    </row>
    <row r="2483" ht="12.75">
      <c r="Q2483" s="28"/>
    </row>
    <row r="2484" ht="12.75">
      <c r="Q2484" s="28"/>
    </row>
    <row r="2485" ht="12.75">
      <c r="Q2485" s="28"/>
    </row>
    <row r="2486" ht="12.75">
      <c r="Q2486" s="28"/>
    </row>
    <row r="2487" ht="12.75">
      <c r="Q2487" s="28"/>
    </row>
    <row r="2488" ht="12.75">
      <c r="Q2488" s="28"/>
    </row>
    <row r="2489" ht="12.75">
      <c r="Q2489" s="28"/>
    </row>
    <row r="2490" ht="12.75">
      <c r="Q2490" s="28"/>
    </row>
    <row r="2491" ht="12.75">
      <c r="Q2491" s="28"/>
    </row>
    <row r="2492" ht="12.75">
      <c r="Q2492" s="28"/>
    </row>
    <row r="2493" ht="12.75">
      <c r="Q2493" s="28"/>
    </row>
    <row r="2494" ht="12.75">
      <c r="Q2494" s="28"/>
    </row>
    <row r="2495" ht="12.75">
      <c r="Q2495" s="28"/>
    </row>
    <row r="2496" ht="12.75">
      <c r="Q2496" s="28"/>
    </row>
    <row r="2497" ht="12.75">
      <c r="Q2497" s="28"/>
    </row>
    <row r="2498" ht="12.75">
      <c r="Q2498" s="28"/>
    </row>
    <row r="2499" ht="12.75">
      <c r="Q2499" s="28"/>
    </row>
    <row r="2500" ht="12.75">
      <c r="Q2500" s="28"/>
    </row>
    <row r="2501" ht="12.75">
      <c r="Q2501" s="28"/>
    </row>
    <row r="2502" ht="12.75">
      <c r="Q2502" s="28"/>
    </row>
    <row r="2503" ht="12.75">
      <c r="Q2503" s="28"/>
    </row>
    <row r="2504" ht="12.75">
      <c r="Q2504" s="28"/>
    </row>
    <row r="2505" ht="12.75">
      <c r="Q2505" s="28"/>
    </row>
    <row r="2506" ht="12.75">
      <c r="Q2506" s="28"/>
    </row>
    <row r="2507" ht="12.75">
      <c r="Q2507" s="28"/>
    </row>
    <row r="2508" ht="12.75">
      <c r="Q2508" s="28"/>
    </row>
    <row r="2509" ht="12.75">
      <c r="Q2509" s="28"/>
    </row>
    <row r="2510" ht="12.75">
      <c r="Q2510" s="28"/>
    </row>
    <row r="2511" ht="12.75">
      <c r="Q2511" s="28"/>
    </row>
    <row r="2512" ht="12.75">
      <c r="Q2512" s="28"/>
    </row>
    <row r="2513" ht="12.75">
      <c r="Q2513" s="28"/>
    </row>
    <row r="2514" ht="12.75">
      <c r="Q2514" s="28"/>
    </row>
    <row r="2515" ht="12.75">
      <c r="Q2515" s="28"/>
    </row>
    <row r="2516" ht="12.75">
      <c r="Q2516" s="28"/>
    </row>
    <row r="2517" ht="12.75">
      <c r="Q2517" s="28"/>
    </row>
    <row r="2518" ht="12.75">
      <c r="Q2518" s="28"/>
    </row>
    <row r="2519" ht="12.75">
      <c r="Q2519" s="28"/>
    </row>
    <row r="2520" ht="12.75">
      <c r="Q2520" s="28"/>
    </row>
    <row r="2521" ht="12.75">
      <c r="Q2521" s="28"/>
    </row>
    <row r="2522" ht="12.75">
      <c r="Q2522" s="28"/>
    </row>
    <row r="2523" ht="12.75">
      <c r="Q2523" s="28"/>
    </row>
    <row r="2524" ht="12.75">
      <c r="Q2524" s="28"/>
    </row>
    <row r="2525" ht="12.75">
      <c r="Q2525" s="28"/>
    </row>
    <row r="2526" ht="12.75">
      <c r="Q2526" s="28"/>
    </row>
    <row r="2527" ht="12.75">
      <c r="Q2527" s="28"/>
    </row>
    <row r="2528" ht="12.75">
      <c r="Q2528" s="28"/>
    </row>
    <row r="2529" ht="12.75">
      <c r="Q2529" s="28"/>
    </row>
    <row r="2530" ht="12.75">
      <c r="Q2530" s="28"/>
    </row>
    <row r="2531" ht="12.75">
      <c r="Q2531" s="28"/>
    </row>
    <row r="2532" ht="12.75">
      <c r="Q2532" s="28"/>
    </row>
    <row r="2533" ht="12.75">
      <c r="Q2533" s="28"/>
    </row>
    <row r="2534" ht="12.75">
      <c r="Q2534" s="28"/>
    </row>
    <row r="2535" ht="12.75">
      <c r="Q2535" s="28"/>
    </row>
    <row r="2536" ht="12.75">
      <c r="Q2536" s="28"/>
    </row>
    <row r="2537" ht="12.75">
      <c r="Q2537" s="28"/>
    </row>
    <row r="2538" ht="12.75">
      <c r="Q2538" s="28"/>
    </row>
    <row r="2539" ht="12.75">
      <c r="Q2539" s="28"/>
    </row>
    <row r="2540" ht="12.75">
      <c r="Q2540" s="28"/>
    </row>
    <row r="2541" ht="12.75">
      <c r="Q2541" s="28"/>
    </row>
    <row r="2542" ht="12.75">
      <c r="Q2542" s="28"/>
    </row>
    <row r="2543" ht="12.75">
      <c r="Q2543" s="28"/>
    </row>
    <row r="2544" ht="12.75">
      <c r="Q2544" s="28"/>
    </row>
    <row r="2545" ht="12.75">
      <c r="Q2545" s="28"/>
    </row>
    <row r="2546" ht="12.75">
      <c r="Q2546" s="28"/>
    </row>
    <row r="2547" ht="12.75">
      <c r="Q2547" s="28"/>
    </row>
    <row r="2548" ht="12.75">
      <c r="Q2548" s="28"/>
    </row>
    <row r="2549" ht="12.75">
      <c r="Q2549" s="28"/>
    </row>
    <row r="2550" ht="12.75">
      <c r="Q2550" s="28"/>
    </row>
    <row r="2551" ht="12.75">
      <c r="Q2551" s="28"/>
    </row>
    <row r="2552" ht="12.75">
      <c r="Q2552" s="28"/>
    </row>
    <row r="2553" ht="12.75">
      <c r="Q2553" s="28"/>
    </row>
    <row r="2554" ht="12.75">
      <c r="Q2554" s="28"/>
    </row>
    <row r="2555" ht="12.75">
      <c r="Q2555" s="28"/>
    </row>
    <row r="2556" ht="12.75">
      <c r="Q2556" s="28"/>
    </row>
    <row r="2557" ht="12.75">
      <c r="Q2557" s="28"/>
    </row>
    <row r="2558" ht="12.75">
      <c r="Q2558" s="28"/>
    </row>
    <row r="2559" ht="12.75">
      <c r="Q2559" s="28"/>
    </row>
    <row r="2560" ht="12.75">
      <c r="Q2560" s="28"/>
    </row>
    <row r="2561" ht="12.75">
      <c r="Q2561" s="28"/>
    </row>
    <row r="2562" ht="12.75">
      <c r="Q2562" s="28"/>
    </row>
    <row r="2563" ht="12.75">
      <c r="Q2563" s="28"/>
    </row>
    <row r="2564" ht="12.75">
      <c r="Q2564" s="28"/>
    </row>
    <row r="2565" ht="12.75">
      <c r="Q2565" s="28"/>
    </row>
    <row r="2566" ht="12.75">
      <c r="Q2566" s="28"/>
    </row>
    <row r="2567" ht="12.75">
      <c r="Q2567" s="28"/>
    </row>
    <row r="2568" ht="12.75">
      <c r="Q2568" s="28"/>
    </row>
    <row r="2569" ht="12.75">
      <c r="Q2569" s="28"/>
    </row>
    <row r="2570" ht="12.75">
      <c r="Q2570" s="28"/>
    </row>
    <row r="2571" ht="12.75">
      <c r="Q2571" s="28"/>
    </row>
    <row r="2572" ht="12.75">
      <c r="Q2572" s="28"/>
    </row>
    <row r="2573" ht="12.75">
      <c r="Q2573" s="28"/>
    </row>
    <row r="2574" ht="12.75">
      <c r="Q2574" s="28"/>
    </row>
    <row r="2575" ht="12.75">
      <c r="Q2575" s="28"/>
    </row>
    <row r="2576" ht="12.75">
      <c r="Q2576" s="28"/>
    </row>
    <row r="2577" ht="12.75">
      <c r="Q2577" s="28"/>
    </row>
    <row r="2578" ht="12.75">
      <c r="Q2578" s="28"/>
    </row>
    <row r="2579" ht="12.75">
      <c r="Q2579" s="28"/>
    </row>
    <row r="2580" ht="12.75">
      <c r="Q2580" s="28"/>
    </row>
    <row r="2581" ht="12.75">
      <c r="Q2581" s="28"/>
    </row>
    <row r="2582" ht="12.75">
      <c r="Q2582" s="28"/>
    </row>
    <row r="2583" ht="12.75">
      <c r="Q2583" s="28"/>
    </row>
    <row r="2584" ht="12.75">
      <c r="Q2584" s="28"/>
    </row>
    <row r="2585" ht="12.75">
      <c r="Q2585" s="28"/>
    </row>
    <row r="2586" ht="12.75">
      <c r="Q2586" s="28"/>
    </row>
    <row r="2587" ht="12.75">
      <c r="Q2587" s="28"/>
    </row>
    <row r="2588" ht="12.75">
      <c r="Q2588" s="28"/>
    </row>
    <row r="2589" ht="12.75">
      <c r="Q2589" s="28"/>
    </row>
    <row r="2590" ht="12.75">
      <c r="Q2590" s="28"/>
    </row>
    <row r="2591" ht="12.75">
      <c r="Q2591" s="28"/>
    </row>
    <row r="2592" ht="12.75">
      <c r="Q2592" s="28"/>
    </row>
    <row r="2593" ht="12.75">
      <c r="Q2593" s="28"/>
    </row>
    <row r="2594" ht="12.75">
      <c r="Q2594" s="28"/>
    </row>
    <row r="2595" ht="12.75">
      <c r="Q2595" s="28"/>
    </row>
    <row r="2596" ht="12.75">
      <c r="Q2596" s="28"/>
    </row>
    <row r="2597" ht="12.75">
      <c r="Q2597" s="28"/>
    </row>
    <row r="2598" ht="12.75">
      <c r="Q2598" s="28"/>
    </row>
    <row r="2599" ht="12.75">
      <c r="Q2599" s="28"/>
    </row>
    <row r="2600" ht="12.75">
      <c r="Q2600" s="28"/>
    </row>
    <row r="2601" ht="12.75">
      <c r="Q2601" s="28"/>
    </row>
    <row r="2602" ht="12.75">
      <c r="Q2602" s="28"/>
    </row>
    <row r="2603" ht="12.75">
      <c r="Q2603" s="28"/>
    </row>
    <row r="2604" ht="12.75">
      <c r="Q2604" s="28"/>
    </row>
    <row r="2605" ht="12.75">
      <c r="Q2605" s="28"/>
    </row>
    <row r="2606" ht="12.75">
      <c r="Q2606" s="28"/>
    </row>
    <row r="2607" ht="12.75">
      <c r="Q2607" s="28"/>
    </row>
    <row r="2608" ht="12.75">
      <c r="Q2608" s="28"/>
    </row>
    <row r="2609" ht="12.75">
      <c r="Q2609" s="28"/>
    </row>
    <row r="2610" ht="12.75">
      <c r="Q2610" s="28"/>
    </row>
    <row r="2611" ht="12.75">
      <c r="Q2611" s="28"/>
    </row>
    <row r="2612" ht="12.75">
      <c r="Q2612" s="28"/>
    </row>
    <row r="2613" ht="12.75">
      <c r="Q2613" s="28"/>
    </row>
    <row r="2614" ht="12.75">
      <c r="Q2614" s="28"/>
    </row>
    <row r="2615" ht="12.75">
      <c r="Q2615" s="28"/>
    </row>
    <row r="2616" ht="12.75">
      <c r="Q2616" s="28"/>
    </row>
    <row r="2617" ht="12.75">
      <c r="Q2617" s="28"/>
    </row>
    <row r="2618" ht="12.75">
      <c r="Q2618" s="28"/>
    </row>
    <row r="2619" ht="12.75">
      <c r="Q2619" s="28"/>
    </row>
    <row r="2620" ht="12.75">
      <c r="Q2620" s="28"/>
    </row>
    <row r="2621" ht="12.75">
      <c r="Q2621" s="28"/>
    </row>
    <row r="2622" ht="12.75">
      <c r="Q2622" s="28"/>
    </row>
    <row r="2623" ht="12.75">
      <c r="Q2623" s="28"/>
    </row>
    <row r="2624" ht="12.75">
      <c r="Q2624" s="28"/>
    </row>
    <row r="2625" ht="12.75">
      <c r="Q2625" s="28"/>
    </row>
    <row r="2626" ht="12.75">
      <c r="Q2626" s="28"/>
    </row>
    <row r="2627" ht="12.75">
      <c r="Q2627" s="28"/>
    </row>
    <row r="2628" ht="12.75">
      <c r="Q2628" s="28"/>
    </row>
    <row r="2629" ht="12.75">
      <c r="Q2629" s="28"/>
    </row>
    <row r="2630" ht="12.75">
      <c r="Q2630" s="28"/>
    </row>
    <row r="2631" ht="12.75">
      <c r="Q2631" s="28"/>
    </row>
    <row r="2632" ht="12.75">
      <c r="Q2632" s="28"/>
    </row>
    <row r="2633" ht="12.75">
      <c r="Q2633" s="28"/>
    </row>
    <row r="2634" ht="12.75">
      <c r="Q2634" s="28"/>
    </row>
    <row r="2635" ht="12.75">
      <c r="Q2635" s="28"/>
    </row>
    <row r="2636" ht="12.75">
      <c r="Q2636" s="28"/>
    </row>
    <row r="2637" ht="12.75">
      <c r="Q2637" s="28"/>
    </row>
    <row r="2638" ht="12.75">
      <c r="Q2638" s="28"/>
    </row>
    <row r="2639" ht="12.75">
      <c r="Q2639" s="28"/>
    </row>
    <row r="2640" ht="12.75">
      <c r="Q2640" s="28"/>
    </row>
    <row r="2641" ht="12.75">
      <c r="Q2641" s="28"/>
    </row>
    <row r="2642" ht="12.75">
      <c r="Q2642" s="28"/>
    </row>
    <row r="2643" ht="12.75">
      <c r="Q2643" s="28"/>
    </row>
    <row r="2644" ht="12.75">
      <c r="Q2644" s="28"/>
    </row>
    <row r="2645" ht="12.75">
      <c r="Q2645" s="28"/>
    </row>
    <row r="2646" ht="12.75">
      <c r="Q2646" s="28"/>
    </row>
    <row r="2647" ht="12.75">
      <c r="Q2647" s="28"/>
    </row>
    <row r="2648" ht="12.75">
      <c r="Q2648" s="28"/>
    </row>
    <row r="2649" ht="12.75">
      <c r="Q2649" s="28"/>
    </row>
    <row r="2650" ht="12.75">
      <c r="Q2650" s="28"/>
    </row>
    <row r="2651" ht="12.75">
      <c r="Q2651" s="28"/>
    </row>
    <row r="2652" ht="12.75">
      <c r="Q2652" s="28"/>
    </row>
    <row r="2653" ht="12.75">
      <c r="Q2653" s="28"/>
    </row>
    <row r="2654" ht="12.75">
      <c r="Q2654" s="28"/>
    </row>
    <row r="2655" ht="12.75">
      <c r="Q2655" s="28"/>
    </row>
    <row r="2656" ht="12.75">
      <c r="Q2656" s="28"/>
    </row>
    <row r="2657" ht="12.75">
      <c r="Q2657" s="28"/>
    </row>
    <row r="2658" ht="12.75">
      <c r="Q2658" s="28"/>
    </row>
    <row r="2659" ht="12.75">
      <c r="Q2659" s="28"/>
    </row>
    <row r="2660" ht="12.75">
      <c r="Q2660" s="28"/>
    </row>
    <row r="2661" ht="12.75">
      <c r="Q2661" s="28"/>
    </row>
    <row r="2662" ht="12.75">
      <c r="Q2662" s="28"/>
    </row>
    <row r="2663" ht="12.75">
      <c r="Q2663" s="28"/>
    </row>
    <row r="2664" ht="12.75">
      <c r="Q2664" s="28"/>
    </row>
    <row r="2665" ht="12.75">
      <c r="Q2665" s="28"/>
    </row>
    <row r="2666" ht="12.75">
      <c r="Q2666" s="28"/>
    </row>
    <row r="2667" ht="12.75">
      <c r="Q2667" s="28"/>
    </row>
    <row r="2668" ht="12.75">
      <c r="Q2668" s="28"/>
    </row>
    <row r="2669" ht="12.75">
      <c r="Q2669" s="28"/>
    </row>
    <row r="2670" ht="12.75">
      <c r="Q2670" s="28"/>
    </row>
    <row r="2671" ht="12.75">
      <c r="Q2671" s="28"/>
    </row>
    <row r="2672" ht="12.75">
      <c r="Q2672" s="28"/>
    </row>
    <row r="2673" ht="12.75">
      <c r="Q2673" s="28"/>
    </row>
    <row r="2674" ht="12.75">
      <c r="Q2674" s="28"/>
    </row>
    <row r="2675" ht="12.75">
      <c r="Q2675" s="28"/>
    </row>
    <row r="2676" ht="12.75">
      <c r="Q2676" s="28"/>
    </row>
    <row r="2677" ht="12.75">
      <c r="Q2677" s="28"/>
    </row>
    <row r="2678" ht="12.75">
      <c r="Q2678" s="28"/>
    </row>
    <row r="2679" ht="12.75">
      <c r="Q2679" s="28"/>
    </row>
    <row r="2680" ht="12.75">
      <c r="Q2680" s="28"/>
    </row>
    <row r="2681" ht="12.75">
      <c r="Q2681" s="28"/>
    </row>
    <row r="2682" ht="12.75">
      <c r="Q2682" s="28"/>
    </row>
    <row r="2683" ht="12.75">
      <c r="Q2683" s="28"/>
    </row>
    <row r="2684" ht="12.75">
      <c r="Q2684" s="28"/>
    </row>
    <row r="2685" ht="12.75">
      <c r="Q2685" s="28"/>
    </row>
    <row r="2686" ht="12.75">
      <c r="Q2686" s="28"/>
    </row>
    <row r="2687" ht="12.75">
      <c r="Q2687" s="28"/>
    </row>
    <row r="2688" ht="12.75">
      <c r="Q2688" s="28"/>
    </row>
    <row r="2689" ht="12.75">
      <c r="Q2689" s="28"/>
    </row>
    <row r="2690" ht="12.75">
      <c r="Q2690" s="28"/>
    </row>
    <row r="2691" ht="12.75">
      <c r="Q2691" s="28"/>
    </row>
    <row r="2692" ht="12.75">
      <c r="Q2692" s="28"/>
    </row>
    <row r="2693" ht="12.75">
      <c r="Q2693" s="28"/>
    </row>
    <row r="2694" ht="12.75">
      <c r="Q2694" s="28"/>
    </row>
    <row r="2695" ht="12.75">
      <c r="Q2695" s="28"/>
    </row>
    <row r="2696" ht="12.75">
      <c r="Q2696" s="28"/>
    </row>
    <row r="2697" ht="12.75">
      <c r="Q2697" s="28"/>
    </row>
    <row r="2698" ht="12.75">
      <c r="Q2698" s="28"/>
    </row>
    <row r="2699" ht="12.75">
      <c r="Q2699" s="28"/>
    </row>
    <row r="2700" ht="12.75">
      <c r="Q2700" s="28"/>
    </row>
    <row r="2701" ht="12.75">
      <c r="Q2701" s="28"/>
    </row>
    <row r="2702" ht="12.75">
      <c r="Q2702" s="28"/>
    </row>
    <row r="2703" ht="12.75">
      <c r="Q2703" s="28"/>
    </row>
    <row r="2704" ht="12.75">
      <c r="Q2704" s="28"/>
    </row>
    <row r="2705" ht="12.75">
      <c r="Q2705" s="28"/>
    </row>
    <row r="2706" ht="12.75">
      <c r="Q2706" s="28"/>
    </row>
    <row r="2707" ht="12.75">
      <c r="Q2707" s="28"/>
    </row>
    <row r="2708" ht="12.75">
      <c r="Q2708" s="28"/>
    </row>
    <row r="2709" ht="12.75">
      <c r="Q2709" s="28"/>
    </row>
    <row r="2710" ht="12.75">
      <c r="Q2710" s="28"/>
    </row>
    <row r="2711" ht="12.75">
      <c r="Q2711" s="28"/>
    </row>
    <row r="2712" ht="12.75">
      <c r="Q2712" s="28"/>
    </row>
    <row r="2713" ht="12.75">
      <c r="Q2713" s="28"/>
    </row>
    <row r="2714" ht="12.75">
      <c r="Q2714" s="28"/>
    </row>
    <row r="2715" ht="12.75">
      <c r="Q2715" s="28"/>
    </row>
    <row r="2716" ht="12.75">
      <c r="Q2716" s="28"/>
    </row>
    <row r="2717" ht="12.75">
      <c r="Q2717" s="28"/>
    </row>
    <row r="2718" ht="12.75">
      <c r="Q2718" s="28"/>
    </row>
    <row r="2719" ht="12.75">
      <c r="Q2719" s="28"/>
    </row>
    <row r="2720" ht="12.75">
      <c r="Q2720" s="28"/>
    </row>
    <row r="2721" ht="12.75">
      <c r="Q2721" s="28"/>
    </row>
    <row r="2722" ht="12.75">
      <c r="Q2722" s="28"/>
    </row>
    <row r="2723" ht="12.75">
      <c r="Q2723" s="28"/>
    </row>
    <row r="2724" ht="12.75">
      <c r="Q2724" s="28"/>
    </row>
    <row r="2725" ht="12.75">
      <c r="Q2725" s="28"/>
    </row>
    <row r="2726" ht="12.75">
      <c r="Q2726" s="28"/>
    </row>
    <row r="2727" ht="12.75">
      <c r="Q2727" s="28"/>
    </row>
    <row r="2728" ht="12.75">
      <c r="Q2728" s="28"/>
    </row>
    <row r="2729" ht="12.75">
      <c r="Q2729" s="28"/>
    </row>
    <row r="2730" ht="12.75">
      <c r="Q2730" s="28"/>
    </row>
    <row r="2731" ht="12.75">
      <c r="Q2731" s="28"/>
    </row>
    <row r="2732" ht="12.75">
      <c r="Q2732" s="28"/>
    </row>
    <row r="2733" ht="12.75">
      <c r="Q2733" s="28"/>
    </row>
    <row r="2734" ht="12.75">
      <c r="Q2734" s="28"/>
    </row>
    <row r="2735" ht="12.75">
      <c r="Q2735" s="28"/>
    </row>
    <row r="2736" ht="12.75">
      <c r="Q2736" s="28"/>
    </row>
    <row r="2737" ht="12.75">
      <c r="Q2737" s="28"/>
    </row>
    <row r="2738" ht="12.75">
      <c r="Q2738" s="28"/>
    </row>
    <row r="2739" ht="12.75">
      <c r="Q2739" s="28"/>
    </row>
    <row r="2740" ht="12.75">
      <c r="Q2740" s="28"/>
    </row>
    <row r="2741" ht="12.75">
      <c r="Q2741" s="28"/>
    </row>
    <row r="2742" ht="12.75">
      <c r="Q2742" s="28"/>
    </row>
    <row r="2743" ht="12.75">
      <c r="Q2743" s="28"/>
    </row>
    <row r="2744" ht="12.75">
      <c r="Q2744" s="28"/>
    </row>
    <row r="2745" ht="12.75">
      <c r="Q2745" s="28"/>
    </row>
    <row r="2746" ht="12.75">
      <c r="Q2746" s="28"/>
    </row>
    <row r="2747" ht="12.75">
      <c r="Q2747" s="28"/>
    </row>
    <row r="2748" ht="12.75">
      <c r="Q2748" s="28"/>
    </row>
    <row r="2749" ht="12.75">
      <c r="Q2749" s="28"/>
    </row>
    <row r="2750" ht="12.75">
      <c r="Q2750" s="28"/>
    </row>
    <row r="2751" ht="12.75">
      <c r="Q2751" s="28"/>
    </row>
    <row r="2752" ht="12.75">
      <c r="Q2752" s="28"/>
    </row>
    <row r="2753" ht="12.75">
      <c r="Q2753" s="28"/>
    </row>
    <row r="2754" ht="12.75">
      <c r="Q2754" s="28"/>
    </row>
    <row r="2755" ht="12.75">
      <c r="Q2755" s="28"/>
    </row>
    <row r="2756" ht="12.75">
      <c r="Q2756" s="28"/>
    </row>
    <row r="2757" ht="12.75">
      <c r="Q2757" s="28"/>
    </row>
    <row r="2758" ht="12.75">
      <c r="Q2758" s="28"/>
    </row>
    <row r="2759" ht="12.75">
      <c r="Q2759" s="28"/>
    </row>
    <row r="2760" ht="12.75">
      <c r="Q2760" s="28"/>
    </row>
    <row r="2761" ht="12.75">
      <c r="Q2761" s="28"/>
    </row>
    <row r="2762" ht="12.75">
      <c r="Q2762" s="28"/>
    </row>
    <row r="2763" ht="12.75">
      <c r="Q2763" s="28"/>
    </row>
    <row r="2764" ht="12.75">
      <c r="Q2764" s="28"/>
    </row>
    <row r="2765" ht="12.75">
      <c r="Q2765" s="28"/>
    </row>
    <row r="2766" ht="12.75">
      <c r="Q2766" s="28"/>
    </row>
    <row r="2767" ht="12.75">
      <c r="Q2767" s="28"/>
    </row>
    <row r="2768" ht="12.75">
      <c r="Q2768" s="28"/>
    </row>
    <row r="2769" ht="12.75">
      <c r="Q2769" s="28"/>
    </row>
    <row r="2770" ht="12.75">
      <c r="Q2770" s="28"/>
    </row>
    <row r="2771" ht="12.75">
      <c r="Q2771" s="28"/>
    </row>
    <row r="2772" ht="12.75">
      <c r="Q2772" s="28"/>
    </row>
    <row r="2773" ht="12.75">
      <c r="Q2773" s="28"/>
    </row>
    <row r="2774" ht="12.75">
      <c r="Q2774" s="28"/>
    </row>
    <row r="2775" ht="12.75">
      <c r="Q2775" s="28"/>
    </row>
    <row r="2776" ht="12.75">
      <c r="Q2776" s="28"/>
    </row>
    <row r="2777" ht="12.75">
      <c r="Q2777" s="28"/>
    </row>
    <row r="2778" ht="12.75">
      <c r="Q2778" s="28"/>
    </row>
    <row r="2779" ht="12.75">
      <c r="Q2779" s="28"/>
    </row>
    <row r="2780" ht="12.75">
      <c r="Q2780" s="28"/>
    </row>
    <row r="2781" ht="12.75">
      <c r="Q2781" s="28"/>
    </row>
    <row r="2782" ht="12.75">
      <c r="Q2782" s="28"/>
    </row>
    <row r="2783" ht="12.75">
      <c r="Q2783" s="28"/>
    </row>
    <row r="2784" ht="12.75">
      <c r="Q2784" s="28"/>
    </row>
    <row r="2785" ht="12.75">
      <c r="Q2785" s="28"/>
    </row>
    <row r="2786" ht="12.75">
      <c r="Q2786" s="28"/>
    </row>
    <row r="2787" ht="12.75">
      <c r="Q2787" s="28"/>
    </row>
    <row r="2788" ht="12.75">
      <c r="Q2788" s="28"/>
    </row>
    <row r="2789" ht="12.75">
      <c r="Q2789" s="28"/>
    </row>
    <row r="2790" ht="12.75">
      <c r="Q2790" s="28"/>
    </row>
    <row r="2791" ht="12.75">
      <c r="Q2791" s="28"/>
    </row>
    <row r="2792" ht="12.75">
      <c r="Q2792" s="28"/>
    </row>
    <row r="2793" ht="12.75">
      <c r="Q2793" s="28"/>
    </row>
    <row r="2794" ht="12.75">
      <c r="Q2794" s="28"/>
    </row>
    <row r="2795" ht="12.75">
      <c r="Q2795" s="28"/>
    </row>
    <row r="2796" ht="12.75">
      <c r="Q2796" s="28"/>
    </row>
    <row r="2797" ht="12.75">
      <c r="Q2797" s="28"/>
    </row>
    <row r="2798" ht="12.75">
      <c r="Q2798" s="28"/>
    </row>
    <row r="2799" ht="12.75">
      <c r="Q2799" s="28"/>
    </row>
    <row r="2800" ht="12.75">
      <c r="Q2800" s="28"/>
    </row>
    <row r="2801" ht="12.75">
      <c r="Q2801" s="28"/>
    </row>
    <row r="2802" ht="12.75">
      <c r="Q2802" s="28"/>
    </row>
    <row r="2803" ht="12.75">
      <c r="Q2803" s="28"/>
    </row>
    <row r="2804" ht="12.75">
      <c r="Q2804" s="28"/>
    </row>
    <row r="2805" ht="12.75">
      <c r="Q2805" s="28"/>
    </row>
    <row r="2806" ht="12.75">
      <c r="Q2806" s="28"/>
    </row>
    <row r="2807" ht="12.75">
      <c r="Q2807" s="28"/>
    </row>
    <row r="2808" ht="12.75">
      <c r="Q2808" s="28"/>
    </row>
    <row r="2809" ht="12.75">
      <c r="Q2809" s="28"/>
    </row>
    <row r="2810" ht="12.75">
      <c r="Q2810" s="28"/>
    </row>
    <row r="2811" ht="12.75">
      <c r="Q2811" s="28"/>
    </row>
    <row r="2812" ht="12.75">
      <c r="Q2812" s="28"/>
    </row>
    <row r="2813" ht="12.75">
      <c r="Q2813" s="28"/>
    </row>
    <row r="2814" ht="12.75">
      <c r="Q2814" s="28"/>
    </row>
    <row r="2815" ht="12.75">
      <c r="Q2815" s="28"/>
    </row>
    <row r="2816" ht="12.75">
      <c r="Q2816" s="28"/>
    </row>
    <row r="2817" ht="12.75">
      <c r="Q2817" s="28"/>
    </row>
    <row r="2818" ht="12.75">
      <c r="Q2818" s="28"/>
    </row>
    <row r="2819" ht="12.75">
      <c r="Q2819" s="28"/>
    </row>
    <row r="2820" ht="12.75">
      <c r="Q2820" s="28"/>
    </row>
    <row r="2821" ht="12.75">
      <c r="Q2821" s="28"/>
    </row>
    <row r="2822" ht="12.75">
      <c r="Q2822" s="28"/>
    </row>
    <row r="2823" ht="12.75">
      <c r="Q2823" s="28"/>
    </row>
    <row r="2824" ht="12.75">
      <c r="Q2824" s="28"/>
    </row>
    <row r="2825" ht="12.75">
      <c r="Q2825" s="28"/>
    </row>
    <row r="2826" ht="12.75">
      <c r="Q2826" s="28"/>
    </row>
    <row r="2827" ht="12.75">
      <c r="Q2827" s="28"/>
    </row>
    <row r="2828" ht="12.75">
      <c r="Q2828" s="28"/>
    </row>
    <row r="2829" ht="12.75">
      <c r="Q2829" s="28"/>
    </row>
    <row r="2830" ht="12.75">
      <c r="Q2830" s="28"/>
    </row>
    <row r="2831" ht="12.75">
      <c r="Q2831" s="28"/>
    </row>
    <row r="2832" ht="12.75">
      <c r="Q2832" s="28"/>
    </row>
    <row r="2833" ht="12.75">
      <c r="Q2833" s="28"/>
    </row>
    <row r="2834" ht="12.75">
      <c r="Q2834" s="28"/>
    </row>
    <row r="2835" ht="12.75">
      <c r="Q2835" s="28"/>
    </row>
    <row r="2836" ht="12.75">
      <c r="Q2836" s="28"/>
    </row>
    <row r="2837" ht="12.75">
      <c r="Q2837" s="28"/>
    </row>
    <row r="2838" ht="12.75">
      <c r="Q2838" s="28"/>
    </row>
    <row r="2839" ht="12.75">
      <c r="Q2839" s="28"/>
    </row>
    <row r="2840" ht="12.75">
      <c r="Q2840" s="28"/>
    </row>
    <row r="2841" ht="12.75">
      <c r="Q2841" s="28"/>
    </row>
    <row r="2842" ht="12.75">
      <c r="Q2842" s="28"/>
    </row>
    <row r="2843" ht="12.75">
      <c r="Q2843" s="28"/>
    </row>
    <row r="2844" ht="12.75">
      <c r="Q2844" s="28"/>
    </row>
    <row r="2845" ht="12.75">
      <c r="Q2845" s="28"/>
    </row>
    <row r="2846" ht="12.75">
      <c r="Q2846" s="28"/>
    </row>
    <row r="2847" ht="12.75">
      <c r="Q2847" s="28"/>
    </row>
    <row r="2848" ht="12.75">
      <c r="Q2848" s="28"/>
    </row>
    <row r="2849" ht="12.75">
      <c r="Q2849" s="28"/>
    </row>
    <row r="2850" ht="12.75">
      <c r="Q2850" s="28"/>
    </row>
    <row r="2851" ht="12.75">
      <c r="Q2851" s="28"/>
    </row>
    <row r="2852" ht="12.75">
      <c r="Q2852" s="28"/>
    </row>
    <row r="2853" ht="12.75">
      <c r="Q2853" s="28"/>
    </row>
    <row r="2854" ht="12.75">
      <c r="Q2854" s="28"/>
    </row>
    <row r="2855" ht="12.75">
      <c r="Q2855" s="28"/>
    </row>
    <row r="2856" ht="12.75">
      <c r="Q2856" s="28"/>
    </row>
    <row r="2857" ht="12.75">
      <c r="Q2857" s="28"/>
    </row>
    <row r="2858" ht="12.75">
      <c r="Q2858" s="28"/>
    </row>
    <row r="2859" ht="12.75">
      <c r="Q2859" s="28"/>
    </row>
    <row r="2860" ht="12.75">
      <c r="Q2860" s="28"/>
    </row>
    <row r="2861" ht="12.75">
      <c r="Q2861" s="28"/>
    </row>
    <row r="2862" ht="12.75">
      <c r="Q2862" s="28"/>
    </row>
    <row r="2863" ht="12.75">
      <c r="Q2863" s="28"/>
    </row>
    <row r="2864" ht="12.75">
      <c r="Q2864" s="28"/>
    </row>
    <row r="2865" ht="12.75">
      <c r="Q2865" s="28"/>
    </row>
    <row r="2866" ht="12.75">
      <c r="Q2866" s="28"/>
    </row>
    <row r="2867" ht="12.75">
      <c r="Q2867" s="28"/>
    </row>
    <row r="2868" ht="12.75">
      <c r="Q2868" s="28"/>
    </row>
    <row r="2869" ht="12.75">
      <c r="Q2869" s="28"/>
    </row>
    <row r="2870" ht="12.75">
      <c r="Q2870" s="28"/>
    </row>
    <row r="2871" ht="12.75">
      <c r="Q2871" s="28"/>
    </row>
    <row r="2872" ht="12.75">
      <c r="Q2872" s="28"/>
    </row>
    <row r="2873" ht="12.75">
      <c r="Q2873" s="28"/>
    </row>
    <row r="2874" ht="12.75">
      <c r="Q2874" s="28"/>
    </row>
    <row r="2875" ht="12.75">
      <c r="Q2875" s="28"/>
    </row>
    <row r="2876" ht="12.75">
      <c r="Q2876" s="28"/>
    </row>
    <row r="2877" ht="12.75">
      <c r="Q2877" s="28"/>
    </row>
    <row r="2878" ht="12.75">
      <c r="Q2878" s="28"/>
    </row>
    <row r="2879" ht="12.75">
      <c r="Q2879" s="28"/>
    </row>
    <row r="2880" ht="12.75">
      <c r="Q2880" s="28"/>
    </row>
    <row r="2881" ht="12.75">
      <c r="Q2881" s="28"/>
    </row>
    <row r="2882" ht="12.75">
      <c r="Q2882" s="28"/>
    </row>
    <row r="2883" ht="12.75">
      <c r="Q2883" s="28"/>
    </row>
    <row r="2884" ht="12.75">
      <c r="Q2884" s="28"/>
    </row>
    <row r="2885" ht="12.75">
      <c r="Q2885" s="28"/>
    </row>
    <row r="2886" ht="12.75">
      <c r="Q2886" s="28"/>
    </row>
    <row r="2887" ht="12.75">
      <c r="Q2887" s="28"/>
    </row>
    <row r="2888" ht="12.75">
      <c r="Q2888" s="28"/>
    </row>
    <row r="2889" ht="12.75">
      <c r="Q2889" s="28"/>
    </row>
    <row r="2890" ht="12.75">
      <c r="Q2890" s="28"/>
    </row>
    <row r="2891" ht="12.75">
      <c r="Q2891" s="28"/>
    </row>
    <row r="2892" ht="12.75">
      <c r="Q2892" s="28"/>
    </row>
    <row r="2893" ht="12.75">
      <c r="Q2893" s="28"/>
    </row>
    <row r="2894" ht="12.75">
      <c r="Q2894" s="28"/>
    </row>
    <row r="2895" ht="12.75">
      <c r="Q2895" s="28"/>
    </row>
    <row r="2896" ht="12.75">
      <c r="Q2896" s="28"/>
    </row>
    <row r="2897" ht="12.75">
      <c r="Q2897" s="28"/>
    </row>
    <row r="2898" ht="12.75">
      <c r="Q2898" s="28"/>
    </row>
    <row r="2899" ht="12.75">
      <c r="Q2899" s="28"/>
    </row>
    <row r="2900" ht="12.75">
      <c r="Q2900" s="28"/>
    </row>
    <row r="2901" ht="12.75">
      <c r="Q2901" s="28"/>
    </row>
    <row r="2902" ht="12.75">
      <c r="Q2902" s="28"/>
    </row>
    <row r="2903" ht="12.75">
      <c r="Q2903" s="28"/>
    </row>
    <row r="2904" ht="12.75">
      <c r="Q2904" s="28"/>
    </row>
    <row r="2905" ht="12.75">
      <c r="Q2905" s="28"/>
    </row>
    <row r="2906" ht="12.75">
      <c r="Q2906" s="28"/>
    </row>
    <row r="2907" ht="12.75">
      <c r="Q2907" s="28"/>
    </row>
    <row r="2908" ht="12.75">
      <c r="Q2908" s="28"/>
    </row>
    <row r="2909" ht="12.75">
      <c r="Q2909" s="28"/>
    </row>
    <row r="2910" ht="12.75">
      <c r="Q2910" s="28"/>
    </row>
    <row r="2911" ht="12.75">
      <c r="Q2911" s="28"/>
    </row>
    <row r="2912" ht="12.75">
      <c r="Q2912" s="28"/>
    </row>
    <row r="2913" ht="12.75">
      <c r="Q2913" s="28"/>
    </row>
    <row r="2914" ht="12.75">
      <c r="Q2914" s="28"/>
    </row>
    <row r="2915" ht="12.75">
      <c r="Q2915" s="28"/>
    </row>
    <row r="2916" ht="12.75">
      <c r="Q2916" s="28"/>
    </row>
    <row r="2917" ht="12.75">
      <c r="Q2917" s="28"/>
    </row>
    <row r="2918" ht="12.75">
      <c r="Q2918" s="28"/>
    </row>
    <row r="2919" ht="12.75">
      <c r="Q2919" s="28"/>
    </row>
    <row r="2920" ht="12.75">
      <c r="Q2920" s="28"/>
    </row>
    <row r="2921" ht="12.75">
      <c r="Q2921" s="28"/>
    </row>
    <row r="2922" ht="12.75">
      <c r="Q2922" s="28"/>
    </row>
    <row r="2923" ht="12.75">
      <c r="Q2923" s="28"/>
    </row>
    <row r="2924" ht="12.75">
      <c r="Q2924" s="28"/>
    </row>
    <row r="2925" ht="12.75">
      <c r="Q2925" s="28"/>
    </row>
    <row r="2926" ht="12.75">
      <c r="Q2926" s="28"/>
    </row>
    <row r="2927" ht="12.75">
      <c r="Q2927" s="28"/>
    </row>
    <row r="2928" ht="12.75">
      <c r="Q2928" s="28"/>
    </row>
    <row r="2929" ht="12.75">
      <c r="Q2929" s="28"/>
    </row>
    <row r="2930" ht="12.75">
      <c r="Q2930" s="28"/>
    </row>
    <row r="2931" ht="12.75">
      <c r="Q2931" s="28"/>
    </row>
    <row r="2932" ht="12.75">
      <c r="Q2932" s="28"/>
    </row>
    <row r="2933" ht="12.75">
      <c r="Q2933" s="28"/>
    </row>
    <row r="2934" ht="12.75">
      <c r="Q2934" s="28"/>
    </row>
    <row r="2935" ht="12.75">
      <c r="Q2935" s="28"/>
    </row>
    <row r="2936" ht="12.75">
      <c r="Q2936" s="28"/>
    </row>
    <row r="2937" ht="12.75">
      <c r="Q2937" s="28"/>
    </row>
    <row r="2938" ht="12.75">
      <c r="Q2938" s="28"/>
    </row>
    <row r="2939" ht="12.75">
      <c r="Q2939" s="28"/>
    </row>
    <row r="2940" ht="12.75">
      <c r="Q2940" s="28"/>
    </row>
    <row r="2941" ht="12.75">
      <c r="Q2941" s="28"/>
    </row>
    <row r="2942" ht="12.75">
      <c r="Q2942" s="28"/>
    </row>
    <row r="2943" ht="12.75">
      <c r="Q2943" s="28"/>
    </row>
    <row r="2944" ht="12.75">
      <c r="Q2944" s="28"/>
    </row>
    <row r="2945" ht="12.75">
      <c r="Q2945" s="28"/>
    </row>
    <row r="2946" ht="12.75">
      <c r="Q2946" s="28"/>
    </row>
    <row r="2947" ht="12.75">
      <c r="Q2947" s="28"/>
    </row>
    <row r="2948" ht="12.75">
      <c r="Q2948" s="28"/>
    </row>
    <row r="2949" ht="12.75">
      <c r="Q2949" s="28"/>
    </row>
    <row r="2950" ht="12.75">
      <c r="Q2950" s="28"/>
    </row>
    <row r="2951" ht="12.75">
      <c r="Q2951" s="28"/>
    </row>
    <row r="2952" ht="12.75">
      <c r="Q2952" s="28"/>
    </row>
    <row r="2953" ht="12.75">
      <c r="Q2953" s="28"/>
    </row>
    <row r="2954" ht="12.75">
      <c r="Q2954" s="28"/>
    </row>
    <row r="2955" ht="12.75">
      <c r="Q2955" s="28"/>
    </row>
    <row r="2956" ht="12.75">
      <c r="Q2956" s="28"/>
    </row>
    <row r="2957" ht="12.75">
      <c r="Q2957" s="28"/>
    </row>
    <row r="2958" ht="12.75">
      <c r="Q2958" s="28"/>
    </row>
    <row r="2959" ht="12.75">
      <c r="Q2959" s="28"/>
    </row>
    <row r="2960" ht="12.75">
      <c r="Q2960" s="28"/>
    </row>
    <row r="2961" ht="12.75">
      <c r="Q2961" s="28"/>
    </row>
    <row r="2962" ht="12.75">
      <c r="Q2962" s="28"/>
    </row>
    <row r="2963" ht="12.75">
      <c r="Q2963" s="28"/>
    </row>
    <row r="2964" ht="12.75">
      <c r="Q2964" s="28"/>
    </row>
    <row r="2965" ht="12.75">
      <c r="Q2965" s="28"/>
    </row>
    <row r="2966" ht="12.75">
      <c r="Q2966" s="28"/>
    </row>
    <row r="2967" ht="12.75">
      <c r="Q2967" s="28"/>
    </row>
    <row r="2968" ht="12.75">
      <c r="Q2968" s="28"/>
    </row>
    <row r="2969" ht="12.75">
      <c r="Q2969" s="28"/>
    </row>
    <row r="2970" ht="12.75">
      <c r="Q2970" s="28"/>
    </row>
    <row r="2971" ht="12.75">
      <c r="Q2971" s="28"/>
    </row>
    <row r="2972" ht="12.75">
      <c r="Q2972" s="28"/>
    </row>
    <row r="2973" ht="12.75">
      <c r="Q2973" s="28"/>
    </row>
    <row r="2974" ht="12.75">
      <c r="Q2974" s="28"/>
    </row>
    <row r="2975" ht="12.75">
      <c r="Q2975" s="28"/>
    </row>
    <row r="2976" ht="12.75">
      <c r="Q2976" s="28"/>
    </row>
    <row r="2977" ht="12.75">
      <c r="Q2977" s="28"/>
    </row>
    <row r="2978" ht="12.75">
      <c r="Q2978" s="28"/>
    </row>
    <row r="2979" ht="12.75">
      <c r="Q2979" s="28"/>
    </row>
    <row r="2980" ht="12.75">
      <c r="Q2980" s="28"/>
    </row>
    <row r="2981" ht="12.75">
      <c r="Q2981" s="28"/>
    </row>
    <row r="2982" ht="12.75">
      <c r="Q2982" s="28"/>
    </row>
    <row r="2983" ht="12.75">
      <c r="Q2983" s="28"/>
    </row>
    <row r="2984" ht="12.75">
      <c r="Q2984" s="28"/>
    </row>
    <row r="2985" ht="12.75">
      <c r="Q2985" s="28"/>
    </row>
    <row r="2986" ht="12.75">
      <c r="Q2986" s="28"/>
    </row>
    <row r="2987" ht="12.75">
      <c r="Q2987" s="28"/>
    </row>
    <row r="2988" ht="12.75">
      <c r="Q2988" s="28"/>
    </row>
    <row r="2989" ht="12.75">
      <c r="Q2989" s="28"/>
    </row>
    <row r="2990" ht="12.75">
      <c r="Q2990" s="28"/>
    </row>
    <row r="2991" ht="12.75">
      <c r="Q2991" s="28"/>
    </row>
    <row r="2992" ht="12.75">
      <c r="Q2992" s="28"/>
    </row>
    <row r="2993" ht="12.75">
      <c r="Q2993" s="28"/>
    </row>
    <row r="2994" ht="12.75">
      <c r="Q2994" s="28"/>
    </row>
    <row r="2995" ht="12.75">
      <c r="Q2995" s="28"/>
    </row>
    <row r="2996" ht="12.75">
      <c r="Q2996" s="28"/>
    </row>
    <row r="2997" ht="12.75">
      <c r="Q2997" s="28"/>
    </row>
    <row r="2998" ht="12.75">
      <c r="Q2998" s="28"/>
    </row>
    <row r="2999" ht="12.75">
      <c r="Q2999" s="28"/>
    </row>
    <row r="3000" ht="12.75">
      <c r="Q3000" s="28"/>
    </row>
    <row r="3001" ht="12.75">
      <c r="Q3001" s="28"/>
    </row>
    <row r="3002" ht="12.75">
      <c r="Q3002" s="28"/>
    </row>
    <row r="3003" ht="12.75">
      <c r="Q3003" s="28"/>
    </row>
    <row r="3004" ht="12.75">
      <c r="Q3004" s="28"/>
    </row>
    <row r="3005" ht="12.75">
      <c r="Q3005" s="28"/>
    </row>
    <row r="3006" ht="12.75">
      <c r="Q3006" s="28"/>
    </row>
    <row r="3007" ht="12.75">
      <c r="Q3007" s="28"/>
    </row>
    <row r="3008" ht="12.75">
      <c r="Q3008" s="28"/>
    </row>
    <row r="3009" ht="12.75">
      <c r="Q3009" s="28"/>
    </row>
    <row r="3010" ht="12.75">
      <c r="Q3010" s="28"/>
    </row>
    <row r="3011" ht="12.75">
      <c r="Q3011" s="28"/>
    </row>
    <row r="3012" ht="12.75">
      <c r="Q3012" s="28"/>
    </row>
    <row r="3013" ht="12.75">
      <c r="Q3013" s="28"/>
    </row>
    <row r="3014" ht="12.75">
      <c r="Q3014" s="28"/>
    </row>
    <row r="3015" ht="12.75">
      <c r="Q3015" s="28"/>
    </row>
    <row r="3016" ht="12.75">
      <c r="Q3016" s="28"/>
    </row>
    <row r="3017" ht="12.75">
      <c r="Q3017" s="28"/>
    </row>
    <row r="3018" ht="12.75">
      <c r="Q3018" s="28"/>
    </row>
    <row r="3019" ht="12.75">
      <c r="Q3019" s="28"/>
    </row>
    <row r="3020" ht="12.75">
      <c r="Q3020" s="28"/>
    </row>
    <row r="3021" ht="12.75">
      <c r="Q3021" s="28"/>
    </row>
    <row r="3022" ht="12.75">
      <c r="Q3022" s="28"/>
    </row>
    <row r="3023" ht="12.75">
      <c r="Q3023" s="28"/>
    </row>
    <row r="3024" ht="12.75">
      <c r="Q3024" s="28"/>
    </row>
    <row r="3025" ht="12.75">
      <c r="Q3025" s="28"/>
    </row>
    <row r="3026" ht="12.75">
      <c r="Q3026" s="28"/>
    </row>
    <row r="3027" ht="12.75">
      <c r="Q3027" s="28"/>
    </row>
    <row r="3028" ht="12.75">
      <c r="Q3028" s="28"/>
    </row>
    <row r="3029" ht="12.75">
      <c r="Q3029" s="28"/>
    </row>
    <row r="3030" ht="12.75">
      <c r="Q3030" s="28"/>
    </row>
    <row r="3031" ht="12.75">
      <c r="Q3031" s="28"/>
    </row>
    <row r="3032" ht="12.75">
      <c r="Q3032" s="28"/>
    </row>
    <row r="3033" ht="12.75">
      <c r="Q3033" s="28"/>
    </row>
    <row r="3034" ht="12.75">
      <c r="Q3034" s="28"/>
    </row>
    <row r="3035" ht="12.75">
      <c r="Q3035" s="28"/>
    </row>
    <row r="3036" ht="12.75">
      <c r="Q3036" s="28"/>
    </row>
    <row r="3037" ht="12.75">
      <c r="Q3037" s="28"/>
    </row>
    <row r="3038" ht="12.75">
      <c r="Q3038" s="28"/>
    </row>
    <row r="3039" ht="12.75">
      <c r="Q3039" s="28"/>
    </row>
    <row r="3040" ht="12.75">
      <c r="Q3040" s="28"/>
    </row>
    <row r="3041" ht="12.75">
      <c r="Q3041" s="28"/>
    </row>
    <row r="3042" ht="12.75">
      <c r="Q3042" s="28"/>
    </row>
    <row r="3043" ht="12.75">
      <c r="Q3043" s="28"/>
    </row>
    <row r="3044" ht="12.75">
      <c r="Q3044" s="28"/>
    </row>
    <row r="3045" ht="12.75">
      <c r="Q3045" s="28"/>
    </row>
    <row r="3046" ht="12.75">
      <c r="Q3046" s="28"/>
    </row>
    <row r="3047" ht="12.75">
      <c r="Q3047" s="28"/>
    </row>
    <row r="3048" ht="12.75">
      <c r="Q3048" s="28"/>
    </row>
    <row r="3049" ht="12.75">
      <c r="Q3049" s="28"/>
    </row>
    <row r="3050" ht="12.75">
      <c r="Q3050" s="28"/>
    </row>
    <row r="3051" ht="12.75">
      <c r="Q3051" s="28"/>
    </row>
    <row r="3052" ht="12.75">
      <c r="Q3052" s="28"/>
    </row>
    <row r="3053" ht="12.75">
      <c r="Q3053" s="28"/>
    </row>
    <row r="3054" ht="12.75">
      <c r="Q3054" s="28"/>
    </row>
    <row r="3055" ht="12.75">
      <c r="Q3055" s="28"/>
    </row>
    <row r="3056" ht="12.75">
      <c r="Q3056" s="28"/>
    </row>
    <row r="3057" ht="12.75">
      <c r="Q3057" s="28"/>
    </row>
    <row r="3058" ht="12.75">
      <c r="Q3058" s="28"/>
    </row>
    <row r="3059" ht="12.75">
      <c r="Q3059" s="28"/>
    </row>
    <row r="3060" ht="12.75">
      <c r="Q3060" s="28"/>
    </row>
    <row r="3061" ht="12.75">
      <c r="Q3061" s="28"/>
    </row>
    <row r="3062" ht="12.75">
      <c r="Q3062" s="28"/>
    </row>
    <row r="3063" ht="12.75">
      <c r="Q3063" s="28"/>
    </row>
    <row r="3064" ht="12.75">
      <c r="Q3064" s="28"/>
    </row>
    <row r="3065" ht="12.75">
      <c r="Q3065" s="28"/>
    </row>
    <row r="3066" ht="12.75">
      <c r="Q3066" s="28"/>
    </row>
    <row r="3067" ht="12.75">
      <c r="Q3067" s="28"/>
    </row>
    <row r="3068" ht="12.75">
      <c r="Q3068" s="28"/>
    </row>
    <row r="3069" ht="12.75">
      <c r="Q3069" s="28"/>
    </row>
    <row r="3070" ht="12.75">
      <c r="Q3070" s="28"/>
    </row>
    <row r="3071" ht="12.75">
      <c r="Q3071" s="28"/>
    </row>
    <row r="3072" ht="12.75">
      <c r="Q3072" s="28"/>
    </row>
    <row r="3073" ht="12.75">
      <c r="Q3073" s="28"/>
    </row>
    <row r="3074" ht="12.75">
      <c r="Q3074" s="28"/>
    </row>
    <row r="3075" ht="12.75">
      <c r="Q3075" s="28"/>
    </row>
    <row r="3076" ht="12.75">
      <c r="Q3076" s="28"/>
    </row>
    <row r="3077" ht="12.75">
      <c r="Q3077" s="28"/>
    </row>
    <row r="3078" ht="12.75">
      <c r="Q3078" s="28"/>
    </row>
    <row r="3079" ht="12.75">
      <c r="Q3079" s="28"/>
    </row>
    <row r="3080" ht="12.75">
      <c r="Q3080" s="28"/>
    </row>
    <row r="3081" ht="12.75">
      <c r="Q3081" s="28"/>
    </row>
    <row r="3082" ht="12.75">
      <c r="Q3082" s="28"/>
    </row>
    <row r="3083" ht="12.75">
      <c r="Q3083" s="28"/>
    </row>
    <row r="3084" ht="12.75">
      <c r="Q3084" s="28"/>
    </row>
    <row r="3085" ht="12.75">
      <c r="Q3085" s="28"/>
    </row>
    <row r="3086" ht="12.75">
      <c r="Q3086" s="28"/>
    </row>
    <row r="3087" ht="12.75">
      <c r="Q3087" s="28"/>
    </row>
    <row r="3088" ht="12.75">
      <c r="Q3088" s="28"/>
    </row>
    <row r="3089" ht="12.75">
      <c r="Q3089" s="28"/>
    </row>
    <row r="3090" ht="12.75">
      <c r="Q3090" s="28"/>
    </row>
    <row r="3091" ht="12.75">
      <c r="Q3091" s="28"/>
    </row>
    <row r="3092" ht="12.75">
      <c r="Q3092" s="28"/>
    </row>
    <row r="3093" ht="12.75">
      <c r="Q3093" s="28"/>
    </row>
    <row r="3094" ht="12.75">
      <c r="Q3094" s="28"/>
    </row>
    <row r="3095" ht="12.75">
      <c r="Q3095" s="28"/>
    </row>
    <row r="3096" ht="12.75">
      <c r="Q3096" s="28"/>
    </row>
    <row r="3097" ht="12.75">
      <c r="Q3097" s="28"/>
    </row>
    <row r="3098" ht="12.75">
      <c r="Q3098" s="28"/>
    </row>
    <row r="3099" ht="12.75">
      <c r="Q3099" s="28"/>
    </row>
    <row r="3100" ht="12.75">
      <c r="Q3100" s="28"/>
    </row>
    <row r="3101" ht="12.75">
      <c r="Q3101" s="28"/>
    </row>
    <row r="3102" ht="12.75">
      <c r="Q3102" s="28"/>
    </row>
    <row r="3103" ht="12.75">
      <c r="Q3103" s="28"/>
    </row>
    <row r="3104" ht="12.75">
      <c r="Q3104" s="28"/>
    </row>
    <row r="3105" ht="12.75">
      <c r="Q3105" s="28"/>
    </row>
    <row r="3106" ht="12.75">
      <c r="Q3106" s="28"/>
    </row>
    <row r="3107" ht="12.75">
      <c r="Q3107" s="28"/>
    </row>
    <row r="3108" ht="12.75">
      <c r="Q3108" s="28"/>
    </row>
    <row r="3109" ht="12.75">
      <c r="Q3109" s="28"/>
    </row>
    <row r="3110" ht="12.75">
      <c r="Q3110" s="28"/>
    </row>
    <row r="3111" ht="12.75">
      <c r="Q3111" s="28"/>
    </row>
    <row r="3112" ht="12.75">
      <c r="Q3112" s="28"/>
    </row>
    <row r="3113" ht="12.75">
      <c r="Q3113" s="28"/>
    </row>
    <row r="3114" ht="12.75">
      <c r="Q3114" s="28"/>
    </row>
    <row r="3115" ht="12.75">
      <c r="Q3115" s="28"/>
    </row>
    <row r="3116" ht="12.75">
      <c r="Q3116" s="28"/>
    </row>
    <row r="3117" ht="12.75">
      <c r="Q3117" s="28"/>
    </row>
    <row r="3118" ht="12.75">
      <c r="Q3118" s="28"/>
    </row>
    <row r="3119" ht="12.75">
      <c r="Q3119" s="28"/>
    </row>
    <row r="3120" ht="12.75">
      <c r="Q3120" s="28"/>
    </row>
    <row r="3121" ht="12.75">
      <c r="Q3121" s="28"/>
    </row>
    <row r="3122" ht="12.75">
      <c r="Q3122" s="28"/>
    </row>
    <row r="3123" ht="12.75">
      <c r="Q3123" s="28"/>
    </row>
    <row r="3124" ht="12.75">
      <c r="Q3124" s="28"/>
    </row>
    <row r="3125" ht="12.75">
      <c r="Q3125" s="28"/>
    </row>
    <row r="3126" ht="12.75">
      <c r="Q3126" s="28"/>
    </row>
    <row r="3127" ht="12.75">
      <c r="Q3127" s="28"/>
    </row>
    <row r="3128" ht="12.75">
      <c r="Q3128" s="28"/>
    </row>
    <row r="3129" ht="12.75">
      <c r="Q3129" s="28"/>
    </row>
    <row r="3130" ht="12.75">
      <c r="Q3130" s="28"/>
    </row>
    <row r="3131" ht="12.75">
      <c r="Q3131" s="28"/>
    </row>
    <row r="3132" ht="12.75">
      <c r="Q3132" s="28"/>
    </row>
    <row r="3133" ht="12.75">
      <c r="Q3133" s="28"/>
    </row>
    <row r="3134" ht="12.75">
      <c r="Q3134" s="28"/>
    </row>
    <row r="3135" ht="12.75">
      <c r="Q3135" s="28"/>
    </row>
    <row r="3136" ht="12.75">
      <c r="Q3136" s="28"/>
    </row>
    <row r="3137" ht="12.75">
      <c r="Q3137" s="28"/>
    </row>
    <row r="3138" ht="12.75">
      <c r="Q3138" s="28"/>
    </row>
    <row r="3139" ht="12.75">
      <c r="Q3139" s="28"/>
    </row>
    <row r="3140" ht="12.75">
      <c r="Q3140" s="28"/>
    </row>
    <row r="3141" ht="12.75">
      <c r="Q3141" s="28"/>
    </row>
    <row r="3142" ht="12.75">
      <c r="Q3142" s="28"/>
    </row>
    <row r="3143" ht="12.75">
      <c r="Q3143" s="28"/>
    </row>
    <row r="3144" ht="12.75">
      <c r="Q3144" s="28"/>
    </row>
    <row r="3145" ht="12.75">
      <c r="Q3145" s="28"/>
    </row>
    <row r="3146" ht="12.75">
      <c r="Q3146" s="28"/>
    </row>
    <row r="3147" ht="12.75">
      <c r="Q3147" s="28"/>
    </row>
    <row r="3148" ht="12.75">
      <c r="Q3148" s="28"/>
    </row>
    <row r="3149" ht="12.75">
      <c r="Q3149" s="28"/>
    </row>
    <row r="3150" ht="12.75">
      <c r="Q3150" s="28"/>
    </row>
    <row r="3151" ht="12.75">
      <c r="Q3151" s="28"/>
    </row>
    <row r="3152" ht="12.75">
      <c r="Q3152" s="28"/>
    </row>
    <row r="3153" ht="12.75">
      <c r="Q3153" s="28"/>
    </row>
    <row r="3154" ht="12.75">
      <c r="Q3154" s="28"/>
    </row>
    <row r="3155" ht="12.75">
      <c r="Q3155" s="28"/>
    </row>
    <row r="3156" ht="12.75">
      <c r="Q3156" s="28"/>
    </row>
    <row r="3157" ht="12.75">
      <c r="Q3157" s="28"/>
    </row>
    <row r="3158" ht="12.75">
      <c r="Q3158" s="28"/>
    </row>
    <row r="3159" ht="12.75">
      <c r="Q3159" s="28"/>
    </row>
    <row r="3160" ht="12.75">
      <c r="Q3160" s="28"/>
    </row>
    <row r="3161" ht="12.75">
      <c r="Q3161" s="28"/>
    </row>
    <row r="3162" ht="12.75">
      <c r="Q3162" s="28"/>
    </row>
    <row r="3163" ht="12.75">
      <c r="Q3163" s="28"/>
    </row>
    <row r="3164" ht="12.75">
      <c r="Q3164" s="28"/>
    </row>
    <row r="3165" ht="12.75">
      <c r="Q3165" s="28"/>
    </row>
    <row r="3166" ht="12.75">
      <c r="Q3166" s="28"/>
    </row>
    <row r="3167" ht="12.75">
      <c r="Q3167" s="28"/>
    </row>
    <row r="3168" ht="12.75">
      <c r="Q3168" s="28"/>
    </row>
    <row r="3169" ht="12.75">
      <c r="Q3169" s="28"/>
    </row>
    <row r="3170" ht="12.75">
      <c r="Q3170" s="28"/>
    </row>
    <row r="3171" ht="12.75">
      <c r="Q3171" s="28"/>
    </row>
    <row r="3172" ht="12.75">
      <c r="Q3172" s="28"/>
    </row>
    <row r="3173" ht="12.75">
      <c r="Q3173" s="28"/>
    </row>
    <row r="3174" ht="12.75">
      <c r="Q3174" s="28"/>
    </row>
    <row r="3175" ht="12.75">
      <c r="Q3175" s="28"/>
    </row>
    <row r="3176" ht="12.75">
      <c r="Q3176" s="28"/>
    </row>
    <row r="3177" ht="12.75">
      <c r="Q3177" s="28"/>
    </row>
    <row r="3178" ht="12.75">
      <c r="Q3178" s="28"/>
    </row>
    <row r="3179" ht="12.75">
      <c r="Q3179" s="28"/>
    </row>
    <row r="3180" ht="12.75">
      <c r="Q3180" s="28"/>
    </row>
    <row r="3181" ht="12.75">
      <c r="Q3181" s="28"/>
    </row>
    <row r="3182" ht="12.75">
      <c r="Q3182" s="28"/>
    </row>
    <row r="3183" ht="12.75">
      <c r="Q3183" s="28"/>
    </row>
    <row r="3184" ht="12.75">
      <c r="Q3184" s="28"/>
    </row>
    <row r="3185" ht="12.75">
      <c r="Q3185" s="28"/>
    </row>
    <row r="3186" ht="12.75">
      <c r="Q3186" s="28"/>
    </row>
    <row r="3187" ht="12.75">
      <c r="Q3187" s="28"/>
    </row>
    <row r="3188" ht="12.75">
      <c r="Q3188" s="28"/>
    </row>
    <row r="3189" ht="12.75">
      <c r="Q3189" s="28"/>
    </row>
    <row r="3190" ht="12.75">
      <c r="Q3190" s="28"/>
    </row>
    <row r="3191" ht="12.75">
      <c r="Q3191" s="28"/>
    </row>
    <row r="3192" ht="12.75">
      <c r="Q3192" s="28"/>
    </row>
    <row r="3193" ht="12.75">
      <c r="Q3193" s="28"/>
    </row>
    <row r="3194" ht="12.75">
      <c r="Q3194" s="28"/>
    </row>
    <row r="3195" ht="12.75">
      <c r="Q3195" s="28"/>
    </row>
    <row r="3196" ht="12.75">
      <c r="Q3196" s="28"/>
    </row>
    <row r="3197" ht="12.75">
      <c r="Q3197" s="28"/>
    </row>
    <row r="3198" ht="12.75">
      <c r="Q3198" s="28"/>
    </row>
    <row r="3199" ht="12.75">
      <c r="Q3199" s="28"/>
    </row>
    <row r="3200" ht="12.75">
      <c r="Q3200" s="28"/>
    </row>
    <row r="3201" ht="12.75">
      <c r="Q3201" s="28"/>
    </row>
    <row r="3202" ht="12.75">
      <c r="Q3202" s="28"/>
    </row>
    <row r="3203" ht="12.75">
      <c r="Q3203" s="28"/>
    </row>
    <row r="3204" ht="12.75">
      <c r="Q3204" s="28"/>
    </row>
    <row r="3205" ht="12.75">
      <c r="Q3205" s="28"/>
    </row>
    <row r="3206" ht="12.75">
      <c r="Q3206" s="28"/>
    </row>
    <row r="3207" ht="12.75">
      <c r="Q3207" s="28"/>
    </row>
    <row r="3208" ht="12.75">
      <c r="Q3208" s="28"/>
    </row>
    <row r="3209" ht="12.75">
      <c r="Q3209" s="28"/>
    </row>
    <row r="3210" ht="12.75">
      <c r="Q3210" s="28"/>
    </row>
    <row r="3211" ht="12.75">
      <c r="Q3211" s="28"/>
    </row>
    <row r="3212" ht="12.75">
      <c r="Q3212" s="28"/>
    </row>
    <row r="3213" ht="12.75">
      <c r="Q3213" s="28"/>
    </row>
    <row r="3214" ht="12.75">
      <c r="Q3214" s="28"/>
    </row>
    <row r="3215" ht="12.75">
      <c r="Q3215" s="28"/>
    </row>
    <row r="3216" ht="12.75">
      <c r="Q3216" s="28"/>
    </row>
    <row r="3217" ht="12.75">
      <c r="Q3217" s="28"/>
    </row>
    <row r="3218" ht="12.75">
      <c r="Q3218" s="28"/>
    </row>
    <row r="3219" ht="12.75">
      <c r="Q3219" s="28"/>
    </row>
    <row r="3220" ht="12.75">
      <c r="Q3220" s="28"/>
    </row>
    <row r="3221" ht="12.75">
      <c r="Q3221" s="28"/>
    </row>
    <row r="3222" ht="12.75">
      <c r="Q3222" s="28"/>
    </row>
    <row r="3223" ht="12.75">
      <c r="Q3223" s="28"/>
    </row>
    <row r="3224" ht="12.75">
      <c r="Q3224" s="28"/>
    </row>
    <row r="3225" ht="12.75">
      <c r="Q3225" s="28"/>
    </row>
    <row r="3226" ht="12.75">
      <c r="Q3226" s="28"/>
    </row>
    <row r="3227" ht="12.75">
      <c r="Q3227" s="28"/>
    </row>
    <row r="3228" ht="12.75">
      <c r="Q3228" s="28"/>
    </row>
    <row r="3229" ht="12.75">
      <c r="Q3229" s="28"/>
    </row>
    <row r="3230" ht="12.75">
      <c r="Q3230" s="28"/>
    </row>
    <row r="3231" ht="12.75">
      <c r="Q3231" s="28"/>
    </row>
    <row r="3232" ht="12.75">
      <c r="Q3232" s="28"/>
    </row>
    <row r="3233" ht="12.75">
      <c r="Q3233" s="28"/>
    </row>
    <row r="3234" ht="12.75">
      <c r="Q3234" s="28"/>
    </row>
    <row r="3235" ht="12.75">
      <c r="Q3235" s="28"/>
    </row>
    <row r="3236" ht="12.75">
      <c r="Q3236" s="28"/>
    </row>
    <row r="3237" ht="12.75">
      <c r="Q3237" s="28"/>
    </row>
    <row r="3238" ht="12.75">
      <c r="Q3238" s="28"/>
    </row>
    <row r="3239" ht="12.75">
      <c r="Q3239" s="28"/>
    </row>
    <row r="3240" ht="12.75">
      <c r="Q3240" s="28"/>
    </row>
    <row r="3241" ht="12.75">
      <c r="Q3241" s="28"/>
    </row>
    <row r="3242" ht="12.75">
      <c r="Q3242" s="28"/>
    </row>
    <row r="3243" ht="12.75">
      <c r="Q3243" s="28"/>
    </row>
    <row r="3244" ht="12.75">
      <c r="Q3244" s="28"/>
    </row>
    <row r="3245" ht="12.75">
      <c r="Q3245" s="28"/>
    </row>
    <row r="3246" ht="12.75">
      <c r="Q3246" s="28"/>
    </row>
    <row r="3247" ht="12.75">
      <c r="Q3247" s="28"/>
    </row>
    <row r="3248" ht="12.75">
      <c r="Q3248" s="28"/>
    </row>
    <row r="3249" ht="12.75">
      <c r="Q3249" s="28"/>
    </row>
    <row r="3250" ht="12.75">
      <c r="Q3250" s="28"/>
    </row>
    <row r="3251" ht="12.75">
      <c r="Q3251" s="28"/>
    </row>
    <row r="3252" ht="12.75">
      <c r="Q3252" s="28"/>
    </row>
    <row r="3253" ht="12.75">
      <c r="Q3253" s="28"/>
    </row>
    <row r="3254" ht="12.75">
      <c r="Q3254" s="28"/>
    </row>
    <row r="3255" ht="12.75">
      <c r="Q3255" s="28"/>
    </row>
    <row r="3256" ht="12.75">
      <c r="Q3256" s="28"/>
    </row>
    <row r="3257" ht="12.75">
      <c r="Q3257" s="28"/>
    </row>
    <row r="3258" ht="12.75">
      <c r="Q3258" s="28"/>
    </row>
    <row r="3259" ht="12.75">
      <c r="Q3259" s="28"/>
    </row>
    <row r="3260" ht="12.75">
      <c r="Q3260" s="28"/>
    </row>
    <row r="3261" ht="12.75">
      <c r="Q3261" s="28"/>
    </row>
    <row r="3262" ht="12.75">
      <c r="Q3262" s="28"/>
    </row>
    <row r="3263" ht="12.75">
      <c r="Q3263" s="28"/>
    </row>
    <row r="3264" ht="12.75">
      <c r="Q3264" s="28"/>
    </row>
    <row r="3265" ht="12.75">
      <c r="Q3265" s="28"/>
    </row>
    <row r="3266" ht="12.75">
      <c r="Q3266" s="28"/>
    </row>
    <row r="3267" ht="12.75">
      <c r="Q3267" s="28"/>
    </row>
    <row r="3268" ht="12.75">
      <c r="Q3268" s="28"/>
    </row>
    <row r="3269" ht="12.75">
      <c r="Q3269" s="28"/>
    </row>
    <row r="3270" ht="12.75">
      <c r="Q3270" s="28"/>
    </row>
    <row r="3271" ht="12.75">
      <c r="Q3271" s="28"/>
    </row>
    <row r="3272" ht="12.75">
      <c r="Q3272" s="28"/>
    </row>
    <row r="3273" ht="12.75">
      <c r="Q3273" s="28"/>
    </row>
    <row r="3274" ht="12.75">
      <c r="Q3274" s="28"/>
    </row>
    <row r="3275" ht="12.75">
      <c r="Q3275" s="28"/>
    </row>
    <row r="3276" ht="12.75">
      <c r="Q3276" s="28"/>
    </row>
    <row r="3277" ht="12.75">
      <c r="Q3277" s="28"/>
    </row>
    <row r="3278" ht="12.75">
      <c r="Q3278" s="28"/>
    </row>
    <row r="3279" ht="12.75">
      <c r="Q3279" s="28"/>
    </row>
    <row r="3280" ht="12.75">
      <c r="Q3280" s="28"/>
    </row>
    <row r="3281" ht="12.75">
      <c r="Q3281" s="28"/>
    </row>
    <row r="3282" ht="12.75">
      <c r="Q3282" s="28"/>
    </row>
    <row r="3283" ht="12.75">
      <c r="Q3283" s="28"/>
    </row>
    <row r="3284" ht="12.75">
      <c r="Q3284" s="28"/>
    </row>
    <row r="3285" ht="12.75">
      <c r="Q3285" s="28"/>
    </row>
    <row r="3286" ht="12.75">
      <c r="Q3286" s="28"/>
    </row>
    <row r="3287" ht="12.75">
      <c r="Q3287" s="28"/>
    </row>
    <row r="3288" ht="12.75">
      <c r="Q3288" s="28"/>
    </row>
    <row r="3289" ht="12.75">
      <c r="Q3289" s="28"/>
    </row>
    <row r="3290" ht="12.75">
      <c r="Q3290" s="28"/>
    </row>
    <row r="3291" ht="12.75">
      <c r="Q3291" s="28"/>
    </row>
    <row r="3292" ht="12.75">
      <c r="Q3292" s="28"/>
    </row>
    <row r="3293" ht="12.75">
      <c r="Q3293" s="28"/>
    </row>
    <row r="3294" ht="12.75">
      <c r="Q3294" s="28"/>
    </row>
    <row r="3295" ht="12.75">
      <c r="Q3295" s="28"/>
    </row>
    <row r="3296" ht="12.75">
      <c r="Q3296" s="28"/>
    </row>
    <row r="3297" ht="12.75">
      <c r="Q3297" s="28"/>
    </row>
    <row r="3298" ht="12.75">
      <c r="Q3298" s="28"/>
    </row>
    <row r="3299" ht="12.75">
      <c r="Q3299" s="28"/>
    </row>
    <row r="3300" ht="12.75">
      <c r="Q3300" s="28"/>
    </row>
    <row r="3301" ht="12.75">
      <c r="Q3301" s="28"/>
    </row>
    <row r="3302" ht="12.75">
      <c r="Q3302" s="28"/>
    </row>
    <row r="3303" ht="12.75">
      <c r="Q3303" s="28"/>
    </row>
    <row r="3304" ht="12.75">
      <c r="Q3304" s="28"/>
    </row>
    <row r="3305" ht="12.75">
      <c r="Q3305" s="28"/>
    </row>
    <row r="3306" ht="12.75">
      <c r="Q3306" s="28"/>
    </row>
    <row r="3307" ht="12.75">
      <c r="Q3307" s="28"/>
    </row>
    <row r="3308" ht="12.75">
      <c r="Q3308" s="28"/>
    </row>
    <row r="3309" ht="12.75">
      <c r="Q3309" s="28"/>
    </row>
    <row r="3310" ht="12.75">
      <c r="Q3310" s="28"/>
    </row>
    <row r="3311" ht="12.75">
      <c r="Q3311" s="28"/>
    </row>
    <row r="3312" ht="12.75">
      <c r="Q3312" s="28"/>
    </row>
    <row r="3313" ht="12.75">
      <c r="Q3313" s="28"/>
    </row>
    <row r="3314" ht="12.75">
      <c r="Q3314" s="28"/>
    </row>
    <row r="3315" ht="12.75">
      <c r="Q3315" s="28"/>
    </row>
    <row r="3316" ht="12.75">
      <c r="Q3316" s="28"/>
    </row>
    <row r="3317" ht="12.75">
      <c r="Q3317" s="28"/>
    </row>
    <row r="3318" ht="12.75">
      <c r="Q3318" s="28"/>
    </row>
    <row r="3319" ht="12.75">
      <c r="Q3319" s="28"/>
    </row>
    <row r="3320" ht="12.75">
      <c r="Q3320" s="28"/>
    </row>
    <row r="3321" ht="12.75">
      <c r="Q3321" s="28"/>
    </row>
    <row r="3322" ht="12.75">
      <c r="Q3322" s="28"/>
    </row>
    <row r="3323" ht="12.75">
      <c r="Q3323" s="28"/>
    </row>
    <row r="3324" ht="12.75">
      <c r="Q3324" s="28"/>
    </row>
    <row r="3325" ht="12.75">
      <c r="Q3325" s="28"/>
    </row>
    <row r="3326" ht="12.75">
      <c r="Q3326" s="28"/>
    </row>
    <row r="3327" ht="12.75">
      <c r="Q3327" s="28"/>
    </row>
    <row r="3328" ht="12.75">
      <c r="Q3328" s="28"/>
    </row>
    <row r="3329" ht="12.75">
      <c r="Q3329" s="28"/>
    </row>
    <row r="3330" ht="12.75">
      <c r="Q3330" s="28"/>
    </row>
    <row r="3331" ht="12.75">
      <c r="Q3331" s="28"/>
    </row>
    <row r="3332" ht="12.75">
      <c r="Q3332" s="28"/>
    </row>
    <row r="3333" ht="12.75">
      <c r="Q3333" s="28"/>
    </row>
    <row r="3334" ht="12.75">
      <c r="Q3334" s="28"/>
    </row>
    <row r="3335" ht="12.75">
      <c r="Q3335" s="28"/>
    </row>
    <row r="3336" ht="12.75">
      <c r="Q3336" s="28"/>
    </row>
    <row r="3337" ht="12.75">
      <c r="Q3337" s="28"/>
    </row>
    <row r="3338" ht="12.75">
      <c r="Q3338" s="28"/>
    </row>
    <row r="3339" ht="12.75">
      <c r="Q3339" s="28"/>
    </row>
    <row r="3340" ht="12.75">
      <c r="Q3340" s="28"/>
    </row>
    <row r="3341" ht="12.75">
      <c r="Q3341" s="28"/>
    </row>
    <row r="3342" ht="12.75">
      <c r="Q3342" s="28"/>
    </row>
    <row r="3343" ht="12.75">
      <c r="Q3343" s="28"/>
    </row>
    <row r="3344" ht="12.75">
      <c r="Q3344" s="28"/>
    </row>
    <row r="3345" ht="12.75">
      <c r="Q3345" s="28"/>
    </row>
    <row r="3346" ht="12.75">
      <c r="Q3346" s="28"/>
    </row>
    <row r="3347" ht="12.75">
      <c r="Q3347" s="28"/>
    </row>
    <row r="3348" ht="12.75">
      <c r="Q3348" s="28"/>
    </row>
    <row r="3349" ht="12.75">
      <c r="Q3349" s="28"/>
    </row>
    <row r="3350" ht="12.75">
      <c r="Q3350" s="28"/>
    </row>
    <row r="3351" ht="12.75">
      <c r="Q3351" s="28"/>
    </row>
    <row r="3352" ht="12.75">
      <c r="Q3352" s="28"/>
    </row>
    <row r="3353" ht="12.75">
      <c r="Q3353" s="28"/>
    </row>
    <row r="3354" ht="12.75">
      <c r="Q3354" s="28"/>
    </row>
    <row r="3355" ht="12.75">
      <c r="Q3355" s="28"/>
    </row>
    <row r="3356" ht="12.75">
      <c r="Q3356" s="28"/>
    </row>
    <row r="3357" ht="12.75">
      <c r="Q3357" s="28"/>
    </row>
    <row r="3358" ht="12.75">
      <c r="Q3358" s="28"/>
    </row>
    <row r="3359" ht="12.75">
      <c r="Q3359" s="28"/>
    </row>
    <row r="3360" ht="12.75">
      <c r="Q3360" s="28"/>
    </row>
    <row r="3361" ht="12.75">
      <c r="Q3361" s="28"/>
    </row>
    <row r="3362" ht="12.75">
      <c r="Q3362" s="28"/>
    </row>
    <row r="3363" ht="12.75">
      <c r="Q3363" s="28"/>
    </row>
    <row r="3364" ht="12.75">
      <c r="Q3364" s="28"/>
    </row>
    <row r="3365" ht="12.75">
      <c r="Q3365" s="28"/>
    </row>
    <row r="3366" ht="12.75">
      <c r="Q3366" s="28"/>
    </row>
    <row r="3367" ht="12.75">
      <c r="Q3367" s="28"/>
    </row>
    <row r="3368" ht="12.75">
      <c r="Q3368" s="28"/>
    </row>
    <row r="3369" ht="12.75">
      <c r="Q3369" s="28"/>
    </row>
    <row r="3370" ht="12.75">
      <c r="Q3370" s="28"/>
    </row>
    <row r="3371" ht="12.75">
      <c r="Q3371" s="28"/>
    </row>
    <row r="3372" ht="12.75">
      <c r="Q3372" s="28"/>
    </row>
    <row r="3373" ht="12.75">
      <c r="Q3373" s="28"/>
    </row>
    <row r="3374" ht="12.75">
      <c r="Q3374" s="28"/>
    </row>
    <row r="3375" ht="12.75">
      <c r="Q3375" s="28"/>
    </row>
    <row r="3376" ht="12.75">
      <c r="Q3376" s="28"/>
    </row>
    <row r="3377" ht="12.75">
      <c r="Q3377" s="28"/>
    </row>
    <row r="3378" ht="12.75">
      <c r="Q3378" s="28"/>
    </row>
    <row r="3379" ht="12.75">
      <c r="Q3379" s="28"/>
    </row>
    <row r="3380" ht="12.75">
      <c r="Q3380" s="28"/>
    </row>
    <row r="3381" ht="12.75">
      <c r="Q3381" s="28"/>
    </row>
    <row r="3382" ht="12.75">
      <c r="Q3382" s="28"/>
    </row>
    <row r="3383" ht="12.75">
      <c r="Q3383" s="28"/>
    </row>
    <row r="3384" ht="12.75">
      <c r="Q3384" s="28"/>
    </row>
    <row r="3385" ht="12.75">
      <c r="Q3385" s="28"/>
    </row>
    <row r="3386" ht="12.75">
      <c r="Q3386" s="28"/>
    </row>
    <row r="3387" ht="12.75">
      <c r="Q3387" s="28"/>
    </row>
    <row r="3388" ht="12.75">
      <c r="Q3388" s="28"/>
    </row>
    <row r="3389" ht="12.75">
      <c r="Q3389" s="28"/>
    </row>
    <row r="3390" ht="12.75">
      <c r="Q3390" s="28"/>
    </row>
    <row r="3391" ht="12.75">
      <c r="Q3391" s="28"/>
    </row>
    <row r="3392" ht="12.75">
      <c r="Q3392" s="28"/>
    </row>
  </sheetData>
  <sheetProtection password="CB5D" sheet="1" objects="1" scenarios="1" selectLockedCells="1" selectUnlockedCells="1"/>
  <mergeCells count="16">
    <mergeCell ref="B2:AE2"/>
    <mergeCell ref="X6:AA6"/>
    <mergeCell ref="B4:B7"/>
    <mergeCell ref="C4:C7"/>
    <mergeCell ref="D4:D7"/>
    <mergeCell ref="E4:E7"/>
    <mergeCell ref="AB6:AC6"/>
    <mergeCell ref="F4:AC4"/>
    <mergeCell ref="AD4:AE6"/>
    <mergeCell ref="F5:O5"/>
    <mergeCell ref="P5:AC5"/>
    <mergeCell ref="F6:I6"/>
    <mergeCell ref="J6:M6"/>
    <mergeCell ref="N6:O6"/>
    <mergeCell ref="P6:S6"/>
    <mergeCell ref="T6:W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 - Mikuláš</cp:lastModifiedBy>
  <cp:lastPrinted>2007-12-31T08:11:19Z</cp:lastPrinted>
  <dcterms:created xsi:type="dcterms:W3CDTF">1997-01-24T11:07:25Z</dcterms:created>
  <dcterms:modified xsi:type="dcterms:W3CDTF">2008-01-06T19:51:12Z</dcterms:modified>
  <cp:category/>
  <cp:version/>
  <cp:contentType/>
  <cp:contentStatus/>
</cp:coreProperties>
</file>